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Tableau de bord" sheetId="2" state="visible" r:id="rId4"/>
    <sheet name="Prévisionnel 12 mois" sheetId="3" state="visible" r:id="rId5"/>
    <sheet name="Scénarios" sheetId="4" state="visible" r:id="rId6"/>
    <sheet name="13 semain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1" authorId="0">
      <text>
        <r>
          <rPr>
            <sz val="10"/>
            <rFont val="Arial"/>
            <family val="2"/>
          </rPr>
          <t xml:space="preserve">À la date réelle d'encaissement : appliquez le délai de paiement constaté chez vos clients, pas le délai contractuel.</t>
        </r>
      </text>
    </comment>
    <comment ref="A26" authorId="0">
      <text>
        <r>
          <rPr>
            <sz val="10"/>
            <rFont val="Arial"/>
            <family val="2"/>
          </rPr>
          <t xml:space="preserve">TVA collectée - TVA déductible du mois précédent (réel normal). Biens : TVA due en principe à la livraison. Services : en principe à l'encaissement.</t>
        </r>
      </text>
    </comment>
    <comment ref="A27" authorId="0">
      <text>
        <r>
          <rPr>
            <sz val="10"/>
            <rFont val="Arial"/>
            <family val="2"/>
          </rPr>
          <t xml:space="preserve">Pour une clôture au 31 décembre : acomptes les 15 mars, juin, septembre et décembre si l'IS de référence dépasse 3 000 € (calendrier décalé pour les autres clôtures) ; solde le 15 du 4e mois après la clôture.</t>
        </r>
      </text>
    </comment>
    <comment ref="B6" authorId="0">
      <text>
        <r>
          <rPr>
            <sz val="10"/>
            <rFont val="Arial"/>
            <family val="2"/>
          </rPr>
          <t xml:space="preserve">Solde bancaire au 1er jour, moins les chèques émis non débités, plus les remises non créditées.</t>
        </r>
      </text>
    </comment>
  </commentList>
</comments>
</file>

<file path=xl/sharedStrings.xml><?xml version="1.0" encoding="utf-8"?>
<sst xmlns="http://schemas.openxmlformats.org/spreadsheetml/2006/main" count="118" uniqueCount="104">
  <si>
    <t xml:space="preserve">Prévisionnel de trésorerie : modèle 12 mois, 13 semaines et scénarios</t>
  </si>
  <si>
    <t xml:space="preserve">AUDIT EXPERTS, expert-comptable, 24 avenue de Messine, 75008 Paris | audit-experts.fr/previsionnel-de-tresorerie</t>
  </si>
  <si>
    <t xml:space="preserve">Comment utiliser ce fichier</t>
  </si>
  <si>
    <t xml:space="preserve">1. Onglet « Prévisionnel 12 mois » : saisissez le mois de départ, la trésorerie initiale et vos montants TTC, mois par mois, à la date réelle de paiement.</t>
  </si>
  <si>
    <t xml:space="preserve">2. Onglet « 13 semaines » : à utiliser dès que la trésorerie devient tendue. Saisie semaine par semaine.</t>
  </si>
  <si>
    <t xml:space="preserve">3. Onglet « Scénarios » : réglez les paramètres de test (retard du principal client, baisse d'activité, hausse des coûts, financement refusé). Les calculs se font seuls.</t>
  </si>
  <si>
    <t xml:space="preserve">4. Onglet « Tableau de bord » : point bas, date du point bas, mois négatifs, besoin de financement, couverture des charges fixes et graphique.</t>
  </si>
  <si>
    <t xml:space="preserve">Code couleur</t>
  </si>
  <si>
    <t xml:space="preserve">Cellules jaunes à texte bleu : à remplir ou modifier. Cellules blanches à texte noir : calculées automatiquement, ne pas modifier.</t>
  </si>
  <si>
    <t xml:space="preserve">Données pré-remplies</t>
  </si>
  <si>
    <t xml:space="preserve">Le fichier est livré avec l'exemple fictif de l'article (PME de négoce, 1 235 k€ HT de CA, investissement de 72 k€ TTC financé par un prêt de 60 k€ en juin). Remplacez simplement les montants jaunes par les vôtres.</t>
  </si>
  <si>
    <t xml:space="preserve">Les trois règles</t>
  </si>
  <si>
    <t xml:space="preserve">Tout en TTC, avec une ligne de TVA nette à payer. À la date réelle de paiement, pas à la date de facture. Seulement les financements, apports et subventions déjà accordés.</t>
  </si>
  <si>
    <t xml:space="preserve">Avertissement</t>
  </si>
  <si>
    <t xml:space="preserve">Modèle fourni à titre informatif ; il ne constitue pas une consultation. Pour faire vérifier votre prévisionnel : audit-experts.fr, premier échange gratuit et sans engagement.</t>
  </si>
  <si>
    <t xml:space="preserve">Tableau de bord de trésorerie</t>
  </si>
  <si>
    <t xml:space="preserve">Indicateurs calculés automatiquement à partir des onglets 12 mois et Scénarios.</t>
  </si>
  <si>
    <t xml:space="preserve">Point bas de trésorerie (12 mois)</t>
  </si>
  <si>
    <t xml:space="preserve">Mois du point bas</t>
  </si>
  <si>
    <t xml:space="preserve">Nombre de mois en trésorerie négative</t>
  </si>
  <si>
    <t xml:space="preserve">Trésorerie en fin de période</t>
  </si>
  <si>
    <t xml:space="preserve">Seuil de sécurité souhaité</t>
  </si>
  <si>
    <t xml:space="preserve">Besoin de financement à couvrir (seuil - point bas)</t>
  </si>
  <si>
    <t xml:space="preserve">Décaissements fixes mensuels moyens</t>
  </si>
  <si>
    <t xml:space="preserve">Couverture des charges fixes par la trésorerie initiale (mois)</t>
  </si>
  <si>
    <t xml:space="preserve">Alerte</t>
  </si>
  <si>
    <t xml:space="preserve">Point bas par scénario</t>
  </si>
  <si>
    <t xml:space="preserve">Point bas</t>
  </si>
  <si>
    <t xml:space="preserve">Mois</t>
  </si>
  <si>
    <t xml:space="preserve">Base : votre prévisionnel</t>
  </si>
  <si>
    <t xml:space="preserve">Retard de paiement du principal client</t>
  </si>
  <si>
    <t xml:space="preserve">Baisse des ventes</t>
  </si>
  <si>
    <t xml:space="preserve">Hausse des achats et charges externes</t>
  </si>
  <si>
    <t xml:space="preserve">Financement bancaire refusé</t>
  </si>
  <si>
    <t xml:space="preserve">Tous les chocs cumulés</t>
  </si>
  <si>
    <t xml:space="preserve">Plan de trésorerie prévisionnel sur 12 mois (montants TTC en €)</t>
  </si>
  <si>
    <t xml:space="preserve">Saisir les cellules jaunes. Les totaux, soldes et reports sont calculés.</t>
  </si>
  <si>
    <t xml:space="preserve">Entreprise</t>
  </si>
  <si>
    <t xml:space="preserve">Exemple fictif : PME de négoce</t>
  </si>
  <si>
    <t xml:space="preserve">Premier mois du prévisionnel</t>
  </si>
  <si>
    <t xml:space="preserve">Trésorerie disponible au 1er jour</t>
  </si>
  <si>
    <t xml:space="preserve">Poste</t>
  </si>
  <si>
    <t xml:space="preserve">Total</t>
  </si>
  <si>
    <t xml:space="preserve">Trésorerie en début de mois</t>
  </si>
  <si>
    <t xml:space="preserve">ENCAISSEMENTS</t>
  </si>
  <si>
    <t xml:space="preserve">Ventes encaissées (TTC)</t>
  </si>
  <si>
    <t xml:space="preserve">Autres encaissements d'exploitation</t>
  </si>
  <si>
    <t xml:space="preserve">Remboursement de crédit de TVA</t>
  </si>
  <si>
    <t xml:space="preserve">Apports (capital, compte courant)</t>
  </si>
  <si>
    <t xml:space="preserve">Emprunts débloqués</t>
  </si>
  <si>
    <t xml:space="preserve">Subventions et aides versées</t>
  </si>
  <si>
    <t xml:space="preserve">Cessions d'actifs</t>
  </si>
  <si>
    <t xml:space="preserve">Total des encaissements</t>
  </si>
  <si>
    <t xml:space="preserve">DÉCAISSEMENTS</t>
  </si>
  <si>
    <t xml:space="preserve">Fournisseurs et achats (TTC)</t>
  </si>
  <si>
    <t xml:space="preserve">Sous-traitance, charges externes (TTC)</t>
  </si>
  <si>
    <t xml:space="preserve">Loyers et charges locatives (TTC)</t>
  </si>
  <si>
    <t xml:space="preserve">Salaires nets</t>
  </si>
  <si>
    <t xml:space="preserve">Cotisations sociales (payées le mois suivant)</t>
  </si>
  <si>
    <t xml:space="preserve">Rémunération et cotisations du dirigeant</t>
  </si>
  <si>
    <t xml:space="preserve">TVA nette à payer</t>
  </si>
  <si>
    <t xml:space="preserve">Impôt sur les sociétés (acomptes, solde)</t>
  </si>
  <si>
    <t xml:space="preserve">CFE et autres impôts et taxes</t>
  </si>
  <si>
    <t xml:space="preserve">Échéances d'emprunts (capital + intérêts)</t>
  </si>
  <si>
    <t xml:space="preserve">Crédit-bail, location longue durée</t>
  </si>
  <si>
    <t xml:space="preserve">Investissements (TTC)</t>
  </si>
  <si>
    <t xml:space="preserve">Autres décaissements</t>
  </si>
  <si>
    <t xml:space="preserve">Total des décaissements</t>
  </si>
  <si>
    <t xml:space="preserve">Solde du mois</t>
  </si>
  <si>
    <t xml:space="preserve">Trésorerie en fin de mois</t>
  </si>
  <si>
    <t xml:space="preserve">Exemple fictif repris de l'article audit-experts.fr/previsionnel-de-tresorerie (scénario B). Remplacez les cellules jaunes par vos montants.</t>
  </si>
  <si>
    <t xml:space="preserve">Tests de résistance</t>
  </si>
  <si>
    <t xml:space="preserve">Réglez les paramètres jaunes : chaque scénario recalcule la trésorerie de fin de mois à partir de l'onglet 12 mois.</t>
  </si>
  <si>
    <t xml:space="preserve">Part du chiffre d'affaires du principal client</t>
  </si>
  <si>
    <t xml:space="preserve">Mois à partir duquel il paie avec 1 mois de retard (1 à 12)</t>
  </si>
  <si>
    <t xml:space="preserve">Baisse des ventes encaissées</t>
  </si>
  <si>
    <t xml:space="preserve">Mois de début de la baisse (1 à 12)</t>
  </si>
  <si>
    <t xml:space="preserve">Mois de début de la hausse (1 à 12)</t>
  </si>
  <si>
    <t xml:space="preserve">Seuil de sécurité de trésorerie souhaité</t>
  </si>
  <si>
    <t xml:space="preserve">Financement refusé : mensualité qui disparaît aussi</t>
  </si>
  <si>
    <t xml:space="preserve">Financement refusé : mois de la 1re mensualité (1 à 12)</t>
  </si>
  <si>
    <t xml:space="preserve">La baisse des ventes est appliquée sans réduction des achats : c'est volontairement prudent, les charges ne s'ajustent qu'avec retard.</t>
  </si>
  <si>
    <t xml:space="preserve">Calculs intermédiaires (écarts mensuels de trésorerie par scénario)</t>
  </si>
  <si>
    <t xml:space="preserve">Écart : retard du principal client</t>
  </si>
  <si>
    <t xml:space="preserve">Écart : baisse des ventes</t>
  </si>
  <si>
    <t xml:space="preserve">Écart : hausse des coûts</t>
  </si>
  <si>
    <t xml:space="preserve">Écart : financement refusé</t>
  </si>
  <si>
    <t xml:space="preserve">Prévisionnel de trésorerie à 13 semaines (montants TTC en €)</t>
  </si>
  <si>
    <t xml:space="preserve">Pour les périodes tendues : saisie semaine par semaine, à la date réelle de chaque flux.</t>
  </si>
  <si>
    <t xml:space="preserve">Lundi de la première semaine</t>
  </si>
  <si>
    <t xml:space="preserve">Trésorerie disponible ce lundi</t>
  </si>
  <si>
    <t xml:space="preserve">Semaine du</t>
  </si>
  <si>
    <t xml:space="preserve">Trésorerie en début de semaine</t>
  </si>
  <si>
    <t xml:space="preserve">Règlements clients</t>
  </si>
  <si>
    <t xml:space="preserve">Autres encaissements</t>
  </si>
  <si>
    <t xml:space="preserve">Fournisseurs</t>
  </si>
  <si>
    <t xml:space="preserve">Cotisations sociales</t>
  </si>
  <si>
    <t xml:space="preserve">TVA et impôts</t>
  </si>
  <si>
    <t xml:space="preserve">Échéances d'emprunts</t>
  </si>
  <si>
    <t xml:space="preserve">Loyers et autres décaissements</t>
  </si>
  <si>
    <t xml:space="preserve">Trésorerie en fin de semaine</t>
  </si>
  <si>
    <t xml:space="preserve">Semaine 1 pré-remplie à titre d'exemple : remplacez-la par vos montants.</t>
  </si>
  <si>
    <t xml:space="preserve">Point bas sur 13 semaines</t>
  </si>
  <si>
    <t xml:space="preserve">Semaine du point bas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</si>
</sst>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&quot; €&quot;;[RED]\-#,##0&quot; €&quot;;\-"/>
    <numFmt numFmtId="166" formatCode="mmmm\ yyyy"/>
    <numFmt numFmtId="167" formatCode="0"/>
    <numFmt numFmtId="168" formatCode="0.0"/>
    <numFmt numFmtId="169" formatCode="@"/>
    <numFmt numFmtId="170" formatCode="mmm\ yy"/>
    <numFmt numFmtId="171" formatCode="#,##0"/>
    <numFmt numFmtId="172" formatCode="0%"/>
    <numFmt numFmtId="173" formatCode="dd/mm/yyyy"/>
    <numFmt numFmtId="174" formatCode="dd/mm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9"/>
      <color rgb="FFB8912F"/>
      <name val="Arial"/>
      <family val="0"/>
      <charset val="1"/>
    </font>
    <font>
      <b val="true"/>
      <sz val="11"/>
      <color rgb="FF0F1B2D"/>
      <name val="Arial"/>
      <family val="0"/>
      <charset val="1"/>
    </font>
    <font>
      <sz val="10"/>
      <color rgb="FF0F1B2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F1B2D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name val="Arial"/>
      <family val="0"/>
      <charset val="1"/>
    </font>
    <font>
      <i val="true"/>
      <sz val="9"/>
      <color rgb="FF5B6472"/>
      <name val="Arial"/>
      <family val="0"/>
      <charset val="1"/>
    </font>
    <font>
      <sz val="10"/>
      <name val="Arial"/>
      <family val="2"/>
    </font>
    <font>
      <b val="true"/>
      <sz val="9"/>
      <color rgb="FF5B6472"/>
      <name val="Arial"/>
      <family val="0"/>
      <charset val="1"/>
    </font>
    <font>
      <sz val="9"/>
      <color rgb="FF5B647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B2D"/>
        <bgColor rgb="FF000000"/>
      </patternFill>
    </fill>
    <fill>
      <patternFill patternType="solid">
        <fgColor rgb="FFFFF7D6"/>
        <bgColor rgb="FFF3F0E6"/>
      </patternFill>
    </fill>
    <fill>
      <patternFill patternType="solid">
        <fgColor rgb="FFE9EDF2"/>
        <bgColor rgb="FFF3F0E6"/>
      </patternFill>
    </fill>
    <fill>
      <patternFill patternType="solid">
        <fgColor rgb="FFF3F0E6"/>
        <bgColor rgb="FFE9EDF2"/>
      </patternFill>
    </fill>
    <fill>
      <patternFill patternType="solid">
        <fgColor rgb="FFDFE6EE"/>
        <bgColor rgb="FFE9E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6D5D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12F"/>
      <rgbColor rgb="FF800080"/>
      <rgbColor rgb="FF008080"/>
      <rgbColor rgb="FFD9D9D9"/>
      <rgbColor rgb="FF878787"/>
      <rgbColor rgb="FF9999FF"/>
      <rgbColor rgb="FFBE4B48"/>
      <rgbColor rgb="FFFFF7D6"/>
      <rgbColor rgb="FFE9EDF2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FE6EE"/>
      <rgbColor rgb="FFF3F0E6"/>
      <rgbColor rgb="FFFFFF99"/>
      <rgbColor rgb="FF99CCFF"/>
      <rgbColor rgb="FFFF99CC"/>
      <rgbColor rgb="FFCC99FF"/>
      <rgbColor rgb="FFF6D5D5"/>
      <rgbColor rgb="FF4A7EBB"/>
      <rgbColor rgb="FF46AAC4"/>
      <rgbColor rgb="FF98B855"/>
      <rgbColor rgb="FFFFCC00"/>
      <rgbColor rgb="FFF59240"/>
      <rgbColor rgb="FFFF6600"/>
      <rgbColor rgb="FF7D5FA0"/>
      <rgbColor rgb="FF969696"/>
      <rgbColor rgb="FF003366"/>
      <rgbColor rgb="FF339966"/>
      <rgbColor rgb="FF0F1B2D"/>
      <rgbColor rgb="FF333300"/>
      <rgbColor rgb="FF993300"/>
      <rgbColor rgb="FF993366"/>
      <rgbColor rgb="FF5B647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Trésorerie de fin de mois par scénario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Scénarios!A16</c:f>
              <c:strCache>
                <c:ptCount val="1"/>
                <c:pt idx="0">
                  <c:v>Base : votre prévisionnel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Scénarios!$B$15:$M$15</c:f>
              <c:strCache>
                <c:ptCount val="12"/>
                <c:pt idx="0">
                  <c:v>Jan 27</c:v>
                </c:pt>
                <c:pt idx="1">
                  <c:v>Feb 27</c:v>
                </c:pt>
                <c:pt idx="2">
                  <c:v>Mar 27</c:v>
                </c:pt>
                <c:pt idx="3">
                  <c:v>Apr 27</c:v>
                </c:pt>
                <c:pt idx="4">
                  <c:v>May 27</c:v>
                </c:pt>
                <c:pt idx="5">
                  <c:v>Jun 27</c:v>
                </c:pt>
                <c:pt idx="6">
                  <c:v>Jul 27</c:v>
                </c:pt>
                <c:pt idx="7">
                  <c:v>Aug 27</c:v>
                </c:pt>
                <c:pt idx="8">
                  <c:v>Sep 27</c:v>
                </c:pt>
                <c:pt idx="9">
                  <c:v>Oct 27</c:v>
                </c:pt>
                <c:pt idx="10">
                  <c:v>Nov 27</c:v>
                </c:pt>
                <c:pt idx="11">
                  <c:v>Dec 27</c:v>
                </c:pt>
              </c:strCache>
            </c:strRef>
          </c:cat>
          <c:val>
            <c:numRef>
              <c:f>Scénarios!$B$16:$M$16</c:f>
              <c:numCache>
                <c:formatCode>#,##0" €";[RED]\-#,##0" €";\-</c:formatCode>
                <c:ptCount val="12"/>
                <c:pt idx="0">
                  <c:v>37500</c:v>
                </c:pt>
                <c:pt idx="1">
                  <c:v>38500</c:v>
                </c:pt>
                <c:pt idx="2">
                  <c:v>25500</c:v>
                </c:pt>
                <c:pt idx="3">
                  <c:v>13500</c:v>
                </c:pt>
                <c:pt idx="4">
                  <c:v>10000</c:v>
                </c:pt>
                <c:pt idx="5">
                  <c:v>-11000</c:v>
                </c:pt>
                <c:pt idx="6">
                  <c:v>-4500</c:v>
                </c:pt>
                <c:pt idx="7">
                  <c:v>-200</c:v>
                </c:pt>
                <c:pt idx="8">
                  <c:v>-1300</c:v>
                </c:pt>
                <c:pt idx="9">
                  <c:v>17600</c:v>
                </c:pt>
                <c:pt idx="10">
                  <c:v>50500</c:v>
                </c:pt>
                <c:pt idx="11">
                  <c:v>58400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Scénarios!A17</c:f>
              <c:strCache>
                <c:ptCount val="1"/>
                <c:pt idx="0">
                  <c:v>Retard de paiement du principal client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Scénarios!$B$15:$M$15</c:f>
              <c:strCache>
                <c:ptCount val="12"/>
                <c:pt idx="0">
                  <c:v>Jan 27</c:v>
                </c:pt>
                <c:pt idx="1">
                  <c:v>Feb 27</c:v>
                </c:pt>
                <c:pt idx="2">
                  <c:v>Mar 27</c:v>
                </c:pt>
                <c:pt idx="3">
                  <c:v>Apr 27</c:v>
                </c:pt>
                <c:pt idx="4">
                  <c:v>May 27</c:v>
                </c:pt>
                <c:pt idx="5">
                  <c:v>Jun 27</c:v>
                </c:pt>
                <c:pt idx="6">
                  <c:v>Jul 27</c:v>
                </c:pt>
                <c:pt idx="7">
                  <c:v>Aug 27</c:v>
                </c:pt>
                <c:pt idx="8">
                  <c:v>Sep 27</c:v>
                </c:pt>
                <c:pt idx="9">
                  <c:v>Oct 27</c:v>
                </c:pt>
                <c:pt idx="10">
                  <c:v>Nov 27</c:v>
                </c:pt>
                <c:pt idx="11">
                  <c:v>Dec 27</c:v>
                </c:pt>
              </c:strCache>
            </c:strRef>
          </c:cat>
          <c:val>
            <c:numRef>
              <c:f>Scénarios!$B$17:$M$17</c:f>
              <c:numCache>
                <c:formatCode>#,##0" €";[RED]\-#,##0" €";\-</c:formatCode>
                <c:ptCount val="12"/>
                <c:pt idx="0">
                  <c:v>37500</c:v>
                </c:pt>
                <c:pt idx="1">
                  <c:v>38500</c:v>
                </c:pt>
                <c:pt idx="2">
                  <c:v>25500</c:v>
                </c:pt>
                <c:pt idx="3">
                  <c:v>13500</c:v>
                </c:pt>
                <c:pt idx="4">
                  <c:v>-11600</c:v>
                </c:pt>
                <c:pt idx="5">
                  <c:v>-33800</c:v>
                </c:pt>
                <c:pt idx="6">
                  <c:v>-28500</c:v>
                </c:pt>
                <c:pt idx="7">
                  <c:v>-26600</c:v>
                </c:pt>
                <c:pt idx="8">
                  <c:v>-30100</c:v>
                </c:pt>
                <c:pt idx="9">
                  <c:v>-13600</c:v>
                </c:pt>
                <c:pt idx="10">
                  <c:v>19300</c:v>
                </c:pt>
                <c:pt idx="11">
                  <c:v>32000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Scénarios!A18</c:f>
              <c:strCache>
                <c:ptCount val="1"/>
                <c:pt idx="0">
                  <c:v>Baisse des ventes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Scénarios!$B$15:$M$15</c:f>
              <c:strCache>
                <c:ptCount val="12"/>
                <c:pt idx="0">
                  <c:v>Jan 27</c:v>
                </c:pt>
                <c:pt idx="1">
                  <c:v>Feb 27</c:v>
                </c:pt>
                <c:pt idx="2">
                  <c:v>Mar 27</c:v>
                </c:pt>
                <c:pt idx="3">
                  <c:v>Apr 27</c:v>
                </c:pt>
                <c:pt idx="4">
                  <c:v>May 27</c:v>
                </c:pt>
                <c:pt idx="5">
                  <c:v>Jun 27</c:v>
                </c:pt>
                <c:pt idx="6">
                  <c:v>Jul 27</c:v>
                </c:pt>
                <c:pt idx="7">
                  <c:v>Aug 27</c:v>
                </c:pt>
                <c:pt idx="8">
                  <c:v>Sep 27</c:v>
                </c:pt>
                <c:pt idx="9">
                  <c:v>Oct 27</c:v>
                </c:pt>
                <c:pt idx="10">
                  <c:v>Nov 27</c:v>
                </c:pt>
                <c:pt idx="11">
                  <c:v>Dec 27</c:v>
                </c:pt>
              </c:strCache>
            </c:strRef>
          </c:cat>
          <c:val>
            <c:numRef>
              <c:f>Scénarios!$B$18:$M$18</c:f>
              <c:numCache>
                <c:formatCode>#,##0" €";[RED]\-#,##0" €";\-</c:formatCode>
                <c:ptCount val="12"/>
                <c:pt idx="0">
                  <c:v>37500</c:v>
                </c:pt>
                <c:pt idx="1">
                  <c:v>38500</c:v>
                </c:pt>
                <c:pt idx="2">
                  <c:v>25500</c:v>
                </c:pt>
                <c:pt idx="3">
                  <c:v>13500</c:v>
                </c:pt>
                <c:pt idx="4">
                  <c:v>-800</c:v>
                </c:pt>
                <c:pt idx="5">
                  <c:v>-33200</c:v>
                </c:pt>
                <c:pt idx="6">
                  <c:v>-38700</c:v>
                </c:pt>
                <c:pt idx="7">
                  <c:v>-47600</c:v>
                </c:pt>
                <c:pt idx="8">
                  <c:v>-63100</c:v>
                </c:pt>
                <c:pt idx="9">
                  <c:v>-59800</c:v>
                </c:pt>
                <c:pt idx="10">
                  <c:v>-42500</c:v>
                </c:pt>
                <c:pt idx="11">
                  <c:v>-47800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Scénarios!A19</c:f>
              <c:strCache>
                <c:ptCount val="1"/>
                <c:pt idx="0">
                  <c:v>Hausse des achats et charges externes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Scénarios!$B$15:$M$15</c:f>
              <c:strCache>
                <c:ptCount val="12"/>
                <c:pt idx="0">
                  <c:v>Jan 27</c:v>
                </c:pt>
                <c:pt idx="1">
                  <c:v>Feb 27</c:v>
                </c:pt>
                <c:pt idx="2">
                  <c:v>Mar 27</c:v>
                </c:pt>
                <c:pt idx="3">
                  <c:v>Apr 27</c:v>
                </c:pt>
                <c:pt idx="4">
                  <c:v>May 27</c:v>
                </c:pt>
                <c:pt idx="5">
                  <c:v>Jun 27</c:v>
                </c:pt>
                <c:pt idx="6">
                  <c:v>Jul 27</c:v>
                </c:pt>
                <c:pt idx="7">
                  <c:v>Aug 27</c:v>
                </c:pt>
                <c:pt idx="8">
                  <c:v>Sep 27</c:v>
                </c:pt>
                <c:pt idx="9">
                  <c:v>Oct 27</c:v>
                </c:pt>
                <c:pt idx="10">
                  <c:v>Nov 27</c:v>
                </c:pt>
                <c:pt idx="11">
                  <c:v>Dec 27</c:v>
                </c:pt>
              </c:strCache>
            </c:strRef>
          </c:cat>
          <c:val>
            <c:numRef>
              <c:f>Scénarios!$B$19:$M$19</c:f>
              <c:numCache>
                <c:formatCode>#,##0" €";[RED]\-#,##0" €";\-</c:formatCode>
                <c:ptCount val="12"/>
                <c:pt idx="0">
                  <c:v>37500</c:v>
                </c:pt>
                <c:pt idx="1">
                  <c:v>38500</c:v>
                </c:pt>
                <c:pt idx="2">
                  <c:v>25500</c:v>
                </c:pt>
                <c:pt idx="3">
                  <c:v>13500</c:v>
                </c:pt>
                <c:pt idx="4">
                  <c:v>3940</c:v>
                </c:pt>
                <c:pt idx="5">
                  <c:v>-23420</c:v>
                </c:pt>
                <c:pt idx="6">
                  <c:v>-23880</c:v>
                </c:pt>
                <c:pt idx="7">
                  <c:v>-27140</c:v>
                </c:pt>
                <c:pt idx="8">
                  <c:v>-36400</c:v>
                </c:pt>
                <c:pt idx="9">
                  <c:v>-25660</c:v>
                </c:pt>
                <c:pt idx="10">
                  <c:v>280</c:v>
                </c:pt>
                <c:pt idx="11">
                  <c:v>1820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Scénarios!A20</c:f>
              <c:strCache>
                <c:ptCount val="1"/>
                <c:pt idx="0">
                  <c:v>Financement bancaire refusé</c:v>
                </c:pt>
              </c:strCache>
            </c:strRef>
          </c:tx>
          <c:spPr>
            <a:solidFill>
              <a:srgbClr val="46aac4"/>
            </a:solidFill>
            <a:ln w="2844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Scénarios!$B$15:$M$15</c:f>
              <c:strCache>
                <c:ptCount val="12"/>
                <c:pt idx="0">
                  <c:v>Jan 27</c:v>
                </c:pt>
                <c:pt idx="1">
                  <c:v>Feb 27</c:v>
                </c:pt>
                <c:pt idx="2">
                  <c:v>Mar 27</c:v>
                </c:pt>
                <c:pt idx="3">
                  <c:v>Apr 27</c:v>
                </c:pt>
                <c:pt idx="4">
                  <c:v>May 27</c:v>
                </c:pt>
                <c:pt idx="5">
                  <c:v>Jun 27</c:v>
                </c:pt>
                <c:pt idx="6">
                  <c:v>Jul 27</c:v>
                </c:pt>
                <c:pt idx="7">
                  <c:v>Aug 27</c:v>
                </c:pt>
                <c:pt idx="8">
                  <c:v>Sep 27</c:v>
                </c:pt>
                <c:pt idx="9">
                  <c:v>Oct 27</c:v>
                </c:pt>
                <c:pt idx="10">
                  <c:v>Nov 27</c:v>
                </c:pt>
                <c:pt idx="11">
                  <c:v>Dec 27</c:v>
                </c:pt>
              </c:strCache>
            </c:strRef>
          </c:cat>
          <c:val>
            <c:numRef>
              <c:f>Scénarios!$B$20:$M$20</c:f>
              <c:numCache>
                <c:formatCode>#,##0" €";[RED]\-#,##0" €";\-</c:formatCode>
                <c:ptCount val="12"/>
                <c:pt idx="0">
                  <c:v>37500</c:v>
                </c:pt>
                <c:pt idx="1">
                  <c:v>38500</c:v>
                </c:pt>
                <c:pt idx="2">
                  <c:v>25500</c:v>
                </c:pt>
                <c:pt idx="3">
                  <c:v>13500</c:v>
                </c:pt>
                <c:pt idx="4">
                  <c:v>10000</c:v>
                </c:pt>
                <c:pt idx="5">
                  <c:v>-71000</c:v>
                </c:pt>
                <c:pt idx="6">
                  <c:v>-63400</c:v>
                </c:pt>
                <c:pt idx="7">
                  <c:v>-58000</c:v>
                </c:pt>
                <c:pt idx="8">
                  <c:v>-58000</c:v>
                </c:pt>
                <c:pt idx="9">
                  <c:v>-38000</c:v>
                </c:pt>
                <c:pt idx="10">
                  <c:v>-4000</c:v>
                </c:pt>
                <c:pt idx="11">
                  <c:v>5000</c:v>
                </c:pt>
              </c:numCache>
            </c:numRef>
          </c:val>
          <c:smooth val="1"/>
        </c:ser>
        <c:ser>
          <c:idx val="5"/>
          <c:order val="5"/>
          <c:tx>
            <c:strRef>
              <c:f>Scénarios!A21</c:f>
              <c:strCache>
                <c:ptCount val="1"/>
                <c:pt idx="0">
                  <c:v>Tous les chocs cumulés</c:v>
                </c:pt>
              </c:strCache>
            </c:strRef>
          </c:tx>
          <c:spPr>
            <a:solidFill>
              <a:srgbClr val="f59240"/>
            </a:solidFill>
            <a:ln w="28440">
              <a:solidFill>
                <a:srgbClr val="f5924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Scénarios!$B$15:$M$15</c:f>
              <c:strCache>
                <c:ptCount val="12"/>
                <c:pt idx="0">
                  <c:v>Jan 27</c:v>
                </c:pt>
                <c:pt idx="1">
                  <c:v>Feb 27</c:v>
                </c:pt>
                <c:pt idx="2">
                  <c:v>Mar 27</c:v>
                </c:pt>
                <c:pt idx="3">
                  <c:v>Apr 27</c:v>
                </c:pt>
                <c:pt idx="4">
                  <c:v>May 27</c:v>
                </c:pt>
                <c:pt idx="5">
                  <c:v>Jun 27</c:v>
                </c:pt>
                <c:pt idx="6">
                  <c:v>Jul 27</c:v>
                </c:pt>
                <c:pt idx="7">
                  <c:v>Aug 27</c:v>
                </c:pt>
                <c:pt idx="8">
                  <c:v>Sep 27</c:v>
                </c:pt>
                <c:pt idx="9">
                  <c:v>Oct 27</c:v>
                </c:pt>
                <c:pt idx="10">
                  <c:v>Nov 27</c:v>
                </c:pt>
                <c:pt idx="11">
                  <c:v>Dec 27</c:v>
                </c:pt>
              </c:strCache>
            </c:strRef>
          </c:cat>
          <c:val>
            <c:numRef>
              <c:f>Scénarios!$B$21:$M$21</c:f>
              <c:numCache>
                <c:formatCode>#,##0" €";[RED]\-#,##0" €";\-</c:formatCode>
                <c:ptCount val="12"/>
                <c:pt idx="0">
                  <c:v>37500</c:v>
                </c:pt>
                <c:pt idx="1">
                  <c:v>38500</c:v>
                </c:pt>
                <c:pt idx="2">
                  <c:v>25500</c:v>
                </c:pt>
                <c:pt idx="3">
                  <c:v>13500</c:v>
                </c:pt>
                <c:pt idx="4">
                  <c:v>-28460</c:v>
                </c:pt>
                <c:pt idx="5">
                  <c:v>-128420</c:v>
                </c:pt>
                <c:pt idx="6">
                  <c:v>-140980</c:v>
                </c:pt>
                <c:pt idx="7">
                  <c:v>-158740</c:v>
                </c:pt>
                <c:pt idx="8">
                  <c:v>-183700</c:v>
                </c:pt>
                <c:pt idx="9">
                  <c:v>-189860</c:v>
                </c:pt>
                <c:pt idx="10">
                  <c:v>-178420</c:v>
                </c:pt>
                <c:pt idx="11">
                  <c:v>-184180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2995636"/>
        <c:axId val="76320392"/>
      </c:lineChart>
      <c:catAx>
        <c:axId val="42995636"/>
        <c:scaling>
          <c:orientation val="minMax"/>
        </c:scaling>
        <c:delete val="0"/>
        <c:axPos val="b"/>
        <c:numFmt formatCode="mmm\ yy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6320392"/>
        <c:crosses val="autoZero"/>
        <c:auto val="1"/>
        <c:lblAlgn val="ctr"/>
        <c:lblOffset val="100"/>
        <c:noMultiLvlLbl val="0"/>
      </c:catAx>
      <c:valAx>
        <c:axId val="7632039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99563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16</xdr:col>
      <xdr:colOff>581760</xdr:colOff>
      <xdr:row>30</xdr:row>
      <xdr:rowOff>1440</xdr:rowOff>
    </xdr:to>
    <xdr:graphicFrame>
      <xdr:nvGraphicFramePr>
        <xdr:cNvPr id="0" name="Chart 1"/>
        <xdr:cNvGraphicFramePr/>
      </xdr:nvGraphicFramePr>
      <xdr:xfrm>
        <a:off x="6673320" y="261000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12" min="2" style="0" width="12"/>
  </cols>
  <sheetData>
    <row r="1" customFormat="false" ht="25.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27.75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customFormat="false" ht="27.75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customFormat="false" ht="27.75" hidden="false" customHeight="true" outlineLevel="0" collapsed="false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customFormat="false" ht="27.75" hidden="false" customHeight="true" outlineLevel="0" collapsed="false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customFormat="false" ht="15" hidden="false" customHeight="true" outlineLevel="0" collapsed="false">
      <c r="A10" s="4" t="s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customFormat="false" ht="27.75" hidden="false" customHeight="true" outlineLevel="0" collapsed="false">
      <c r="A11" s="6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customFormat="false" ht="15" hidden="false" customHeight="true" outlineLevel="0" collapsed="false">
      <c r="A13" s="4" t="s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customFormat="false" ht="27.75" hidden="false" customHeight="true" outlineLevel="0" collapsed="false">
      <c r="A14" s="5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customFormat="false" ht="15" hidden="false" customHeight="true" outlineLevel="0" collapsed="false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customFormat="false" ht="27.75" hidden="false" customHeight="true" outlineLevel="0" collapsed="false">
      <c r="A17" s="5" t="s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customFormat="false" ht="15" hidden="false" customHeight="true" outlineLevel="0" collapsed="false">
      <c r="A19" s="4" t="s">
        <v>13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customFormat="false" ht="27.75" hidden="false" customHeight="true" outlineLevel="0" collapsed="false">
      <c r="A20" s="5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</sheetData>
  <mergeCells count="17">
    <mergeCell ref="A4:L4"/>
    <mergeCell ref="A5:L5"/>
    <mergeCell ref="A6:L6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18"/>
    <col collapsed="false" customWidth="true" hidden="false" outlineLevel="0" max="3" min="3" style="0" width="12"/>
  </cols>
  <sheetData>
    <row r="1" customFormat="false" ht="25.5" hidden="false" customHeight="true" outlineLevel="0" collapsed="false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false" outlineLevel="0" collapsed="false">
      <c r="A4" s="7" t="s">
        <v>17</v>
      </c>
      <c r="B4" s="8" t="n">
        <f aca="false">MIN('Prévisionnel 12 mois'!B35:M35)</f>
        <v>-11000</v>
      </c>
    </row>
    <row r="5" customFormat="false" ht="15" hidden="false" customHeight="false" outlineLevel="0" collapsed="false">
      <c r="A5" s="7" t="s">
        <v>18</v>
      </c>
      <c r="B5" s="9" t="n">
        <f aca="false">INDEX('Prévisionnel 12 mois'!B8:M8,MATCH(B4,'Prévisionnel 12 mois'!B35:M35,0))</f>
        <v>46539</v>
      </c>
    </row>
    <row r="6" customFormat="false" ht="15" hidden="false" customHeight="false" outlineLevel="0" collapsed="false">
      <c r="A6" s="7" t="s">
        <v>19</v>
      </c>
      <c r="B6" s="10" t="n">
        <f aca="false">COUNTIF('Prévisionnel 12 mois'!B35:M35,"&lt;0")</f>
        <v>4</v>
      </c>
    </row>
    <row r="7" customFormat="false" ht="15" hidden="false" customHeight="false" outlineLevel="0" collapsed="false">
      <c r="A7" s="7" t="s">
        <v>20</v>
      </c>
      <c r="B7" s="8" t="n">
        <f aca="false">'Prévisionnel 12 mois'!M35</f>
        <v>58400</v>
      </c>
    </row>
    <row r="8" customFormat="false" ht="15" hidden="false" customHeight="false" outlineLevel="0" collapsed="false">
      <c r="A8" s="7" t="s">
        <v>21</v>
      </c>
      <c r="B8" s="8" t="n">
        <f aca="false">Scénarios!B10</f>
        <v>15000</v>
      </c>
    </row>
    <row r="9" customFormat="false" ht="15" hidden="false" customHeight="false" outlineLevel="0" collapsed="false">
      <c r="A9" s="7" t="s">
        <v>22</v>
      </c>
      <c r="B9" s="8" t="n">
        <f aca="false">MAX(0,B8-B4)</f>
        <v>26000</v>
      </c>
    </row>
    <row r="10" customFormat="false" ht="15" hidden="false" customHeight="false" outlineLevel="0" collapsed="false">
      <c r="A10" s="7" t="s">
        <v>23</v>
      </c>
      <c r="B10" s="8" t="n">
        <f aca="false">('Prévisionnel 12 mois'!N22+'Prévisionnel 12 mois'!N23+'Prévisionnel 12 mois'!N24+'Prévisionnel 12 mois'!N25+'Prévisionnel 12 mois'!N29+'Prévisionnel 12 mois'!N30)/12</f>
        <v>43350</v>
      </c>
    </row>
    <row r="11" customFormat="false" ht="15" hidden="false" customHeight="false" outlineLevel="0" collapsed="false">
      <c r="A11" s="7" t="s">
        <v>24</v>
      </c>
      <c r="B11" s="11" t="n">
        <f aca="false">IF(B10=0,0,'Prévisionnel 12 mois'!B6/B10)</f>
        <v>0.922722029988466</v>
      </c>
    </row>
    <row r="12" customFormat="false" ht="15" hidden="false" customHeight="false" outlineLevel="0" collapsed="false">
      <c r="A12" s="7" t="s">
        <v>25</v>
      </c>
      <c r="B12" s="12" t="str">
        <f aca="false">IF(B4&lt;0,"Point bas négatif : négocier un financement avant le mois indiqué en B5",IF(B4&lt;B8,"Point bas sous le seuil de sécurité","Trésorerie au-dessus du seuil de sécurité"))</f>
        <v>Point bas négatif : négocier un financement avant le mois indiqué en B5</v>
      </c>
      <c r="C12" s="12"/>
      <c r="D12" s="12"/>
      <c r="E12" s="12"/>
      <c r="F12" s="12"/>
    </row>
    <row r="14" customFormat="false" ht="15" hidden="false" customHeight="false" outlineLevel="0" collapsed="false">
      <c r="A14" s="13" t="s">
        <v>26</v>
      </c>
      <c r="B14" s="13" t="s">
        <v>27</v>
      </c>
      <c r="C14" s="13" t="s">
        <v>28</v>
      </c>
    </row>
    <row r="15" customFormat="false" ht="15" hidden="false" customHeight="false" outlineLevel="0" collapsed="false">
      <c r="A15" s="14" t="s">
        <v>29</v>
      </c>
      <c r="B15" s="15" t="n">
        <f aca="false">MIN(Scénarios!B16:M16)</f>
        <v>-11000</v>
      </c>
      <c r="C15" s="16" t="n">
        <f aca="false">INDEX(Scénarios!B15:M15,MATCH(B15,Scénarios!B16:M16,0))</f>
        <v>46539</v>
      </c>
    </row>
    <row r="16" customFormat="false" ht="15" hidden="false" customHeight="false" outlineLevel="0" collapsed="false">
      <c r="A16" s="14" t="s">
        <v>30</v>
      </c>
      <c r="B16" s="15" t="n">
        <f aca="false">MIN(Scénarios!B17:M17)</f>
        <v>-33800</v>
      </c>
      <c r="C16" s="16" t="n">
        <f aca="false">INDEX(Scénarios!B15:M15,MATCH(B16,Scénarios!B17:M17,0))</f>
        <v>46539</v>
      </c>
    </row>
    <row r="17" customFormat="false" ht="15" hidden="false" customHeight="false" outlineLevel="0" collapsed="false">
      <c r="A17" s="14" t="s">
        <v>31</v>
      </c>
      <c r="B17" s="15" t="n">
        <f aca="false">MIN(Scénarios!B18:M18)</f>
        <v>-63100</v>
      </c>
      <c r="C17" s="16" t="n">
        <f aca="false">INDEX(Scénarios!B15:M15,MATCH(B17,Scénarios!B18:M18,0))</f>
        <v>46631</v>
      </c>
    </row>
    <row r="18" customFormat="false" ht="15" hidden="false" customHeight="false" outlineLevel="0" collapsed="false">
      <c r="A18" s="14" t="s">
        <v>32</v>
      </c>
      <c r="B18" s="15" t="n">
        <f aca="false">MIN(Scénarios!B19:M19)</f>
        <v>-36400</v>
      </c>
      <c r="C18" s="16" t="n">
        <f aca="false">INDEX(Scénarios!B15:M15,MATCH(B18,Scénarios!B19:M19,0))</f>
        <v>46631</v>
      </c>
    </row>
    <row r="19" customFormat="false" ht="15" hidden="false" customHeight="false" outlineLevel="0" collapsed="false">
      <c r="A19" s="14" t="s">
        <v>33</v>
      </c>
      <c r="B19" s="15" t="n">
        <f aca="false">MIN(Scénarios!B20:M20)</f>
        <v>-71000</v>
      </c>
      <c r="C19" s="16" t="n">
        <f aca="false">INDEX(Scénarios!B15:M15,MATCH(B19,Scénarios!B20:M20,0))</f>
        <v>46539</v>
      </c>
    </row>
    <row r="20" customFormat="false" ht="15" hidden="false" customHeight="false" outlineLevel="0" collapsed="false">
      <c r="A20" s="14" t="s">
        <v>34</v>
      </c>
      <c r="B20" s="15" t="n">
        <f aca="false">MIN(Scénarios!B21:M21)</f>
        <v>-189860</v>
      </c>
      <c r="C20" s="16" t="n">
        <f aca="false">INDEX(Scénarios!B15:M15,MATCH(B20,Scénarios!B21:M21,0))</f>
        <v>46661</v>
      </c>
    </row>
  </sheetData>
  <mergeCells count="1">
    <mergeCell ref="B12:F12"/>
  </mergeCells>
  <conditionalFormatting sqref="B15:B20">
    <cfRule type="cellIs" priority="2" operator="lessThan" aboveAverage="0" equalAverage="0" bottom="0" percent="0" rank="0" text="" dxfId="0">
      <formula>0</formula>
    </cfRule>
  </conditionalFormatting>
  <conditionalFormatting sqref="B4">
    <cfRule type="cellIs" priority="3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14" min="2" style="0" width="12"/>
  </cols>
  <sheetData>
    <row r="1" customFormat="false" ht="25.5" hidden="false" customHeight="true" outlineLevel="0" collapsed="false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false" outlineLevel="0" collapsed="false">
      <c r="A4" s="7" t="s">
        <v>37</v>
      </c>
      <c r="B4" s="17" t="s">
        <v>38</v>
      </c>
      <c r="C4" s="17"/>
      <c r="D4" s="17"/>
      <c r="E4" s="17"/>
    </row>
    <row r="5" customFormat="false" ht="15" hidden="false" customHeight="false" outlineLevel="0" collapsed="false">
      <c r="A5" s="7" t="s">
        <v>39</v>
      </c>
      <c r="B5" s="18" t="n">
        <v>46388</v>
      </c>
    </row>
    <row r="6" customFormat="false" ht="15" hidden="false" customHeight="false" outlineLevel="0" collapsed="false">
      <c r="A6" s="7" t="s">
        <v>40</v>
      </c>
      <c r="B6" s="19" t="n">
        <v>40000</v>
      </c>
    </row>
    <row r="8" customFormat="false" ht="15" hidden="false" customHeight="false" outlineLevel="0" collapsed="false">
      <c r="A8" s="20" t="s">
        <v>41</v>
      </c>
      <c r="B8" s="21" t="n">
        <f aca="false">EDATE($B$5,0)</f>
        <v>46388</v>
      </c>
      <c r="C8" s="21" t="n">
        <f aca="false">EDATE($B$5,1)</f>
        <v>46419</v>
      </c>
      <c r="D8" s="21" t="n">
        <f aca="false">EDATE($B$5,2)</f>
        <v>46447</v>
      </c>
      <c r="E8" s="21" t="n">
        <f aca="false">EDATE($B$5,3)</f>
        <v>46478</v>
      </c>
      <c r="F8" s="21" t="n">
        <f aca="false">EDATE($B$5,4)</f>
        <v>46508</v>
      </c>
      <c r="G8" s="21" t="n">
        <f aca="false">EDATE($B$5,5)</f>
        <v>46539</v>
      </c>
      <c r="H8" s="21" t="n">
        <f aca="false">EDATE($B$5,6)</f>
        <v>46569</v>
      </c>
      <c r="I8" s="21" t="n">
        <f aca="false">EDATE($B$5,7)</f>
        <v>46600</v>
      </c>
      <c r="J8" s="21" t="n">
        <f aca="false">EDATE($B$5,8)</f>
        <v>46631</v>
      </c>
      <c r="K8" s="21" t="n">
        <f aca="false">EDATE($B$5,9)</f>
        <v>46661</v>
      </c>
      <c r="L8" s="21" t="n">
        <f aca="false">EDATE($B$5,10)</f>
        <v>46692</v>
      </c>
      <c r="M8" s="21" t="n">
        <f aca="false">EDATE($B$5,11)</f>
        <v>46722</v>
      </c>
      <c r="N8" s="20" t="s">
        <v>42</v>
      </c>
    </row>
    <row r="9" customFormat="false" ht="15" hidden="false" customHeight="false" outlineLevel="0" collapsed="false">
      <c r="A9" s="22" t="s">
        <v>43</v>
      </c>
      <c r="B9" s="23" t="n">
        <f aca="false">$B$6</f>
        <v>40000</v>
      </c>
      <c r="C9" s="23" t="n">
        <f aca="false">B35</f>
        <v>37500</v>
      </c>
      <c r="D9" s="23" t="n">
        <f aca="false">C35</f>
        <v>38500</v>
      </c>
      <c r="E9" s="23" t="n">
        <f aca="false">D35</f>
        <v>25500</v>
      </c>
      <c r="F9" s="23" t="n">
        <f aca="false">E35</f>
        <v>13500</v>
      </c>
      <c r="G9" s="23" t="n">
        <f aca="false">F35</f>
        <v>10000</v>
      </c>
      <c r="H9" s="23" t="n">
        <f aca="false">G35</f>
        <v>-11000</v>
      </c>
      <c r="I9" s="23" t="n">
        <f aca="false">H35</f>
        <v>-4500</v>
      </c>
      <c r="J9" s="23" t="n">
        <f aca="false">I35</f>
        <v>-200</v>
      </c>
      <c r="K9" s="23" t="n">
        <f aca="false">J35</f>
        <v>-1300</v>
      </c>
      <c r="L9" s="23" t="n">
        <f aca="false">K35</f>
        <v>17600</v>
      </c>
      <c r="M9" s="23" t="n">
        <f aca="false">L35</f>
        <v>50500</v>
      </c>
      <c r="N9" s="23"/>
    </row>
    <row r="10" customFormat="false" ht="15" hidden="false" customHeight="false" outlineLevel="0" collapsed="false">
      <c r="A10" s="24" t="s">
        <v>44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</row>
    <row r="11" customFormat="false" ht="15" hidden="false" customHeight="false" outlineLevel="0" collapsed="false">
      <c r="A11" s="14" t="s">
        <v>45</v>
      </c>
      <c r="B11" s="19" t="n">
        <v>102000</v>
      </c>
      <c r="C11" s="19" t="n">
        <v>102000</v>
      </c>
      <c r="D11" s="19" t="n">
        <v>96000</v>
      </c>
      <c r="E11" s="19" t="n">
        <v>96000</v>
      </c>
      <c r="F11" s="19" t="n">
        <v>108000</v>
      </c>
      <c r="G11" s="19" t="n">
        <v>114000</v>
      </c>
      <c r="H11" s="19" t="n">
        <v>120000</v>
      </c>
      <c r="I11" s="19" t="n">
        <v>132000</v>
      </c>
      <c r="J11" s="19" t="n">
        <v>144000</v>
      </c>
      <c r="K11" s="19" t="n">
        <v>156000</v>
      </c>
      <c r="L11" s="19" t="n">
        <v>156000</v>
      </c>
      <c r="M11" s="19" t="n">
        <v>132000</v>
      </c>
      <c r="N11" s="26" t="n">
        <f aca="false">SUM(B11:M11)</f>
        <v>1458000</v>
      </c>
    </row>
    <row r="12" customFormat="false" ht="15" hidden="false" customHeight="false" outlineLevel="0" collapsed="false">
      <c r="A12" s="14" t="s">
        <v>46</v>
      </c>
      <c r="B12" s="19" t="n">
        <v>0</v>
      </c>
      <c r="C12" s="19" t="n">
        <v>0</v>
      </c>
      <c r="D12" s="19" t="n">
        <v>0</v>
      </c>
      <c r="E12" s="19" t="n">
        <v>0</v>
      </c>
      <c r="F12" s="19" t="n">
        <v>0</v>
      </c>
      <c r="G12" s="19" t="n">
        <v>0</v>
      </c>
      <c r="H12" s="19" t="n">
        <v>0</v>
      </c>
      <c r="I12" s="19" t="n">
        <v>0</v>
      </c>
      <c r="J12" s="19" t="n">
        <v>0</v>
      </c>
      <c r="K12" s="19" t="n">
        <v>0</v>
      </c>
      <c r="L12" s="19" t="n">
        <v>0</v>
      </c>
      <c r="M12" s="19" t="n">
        <v>0</v>
      </c>
      <c r="N12" s="26" t="n">
        <f aca="false">SUM(B12:M12)</f>
        <v>0</v>
      </c>
    </row>
    <row r="13" customFormat="false" ht="15" hidden="false" customHeight="false" outlineLevel="0" collapsed="false">
      <c r="A13" s="14" t="s">
        <v>47</v>
      </c>
      <c r="B13" s="19" t="n">
        <v>0</v>
      </c>
      <c r="C13" s="19" t="n">
        <v>0</v>
      </c>
      <c r="D13" s="19" t="n">
        <v>0</v>
      </c>
      <c r="E13" s="19" t="n">
        <v>0</v>
      </c>
      <c r="F13" s="19" t="n">
        <v>0</v>
      </c>
      <c r="G13" s="19" t="n">
        <v>0</v>
      </c>
      <c r="H13" s="19" t="n">
        <v>0</v>
      </c>
      <c r="I13" s="19" t="n">
        <v>0</v>
      </c>
      <c r="J13" s="19" t="n">
        <v>0</v>
      </c>
      <c r="K13" s="19" t="n">
        <v>0</v>
      </c>
      <c r="L13" s="19" t="n">
        <v>0</v>
      </c>
      <c r="M13" s="19" t="n">
        <v>0</v>
      </c>
      <c r="N13" s="26" t="n">
        <f aca="false">SUM(B13:M13)</f>
        <v>0</v>
      </c>
    </row>
    <row r="14" customFormat="false" ht="15" hidden="false" customHeight="false" outlineLevel="0" collapsed="false">
      <c r="A14" s="14" t="s">
        <v>48</v>
      </c>
      <c r="B14" s="19" t="n">
        <v>0</v>
      </c>
      <c r="C14" s="19" t="n">
        <v>0</v>
      </c>
      <c r="D14" s="19" t="n">
        <v>0</v>
      </c>
      <c r="E14" s="19" t="n">
        <v>0</v>
      </c>
      <c r="F14" s="19" t="n">
        <v>0</v>
      </c>
      <c r="G14" s="19" t="n">
        <v>0</v>
      </c>
      <c r="H14" s="19" t="n">
        <v>0</v>
      </c>
      <c r="I14" s="19" t="n">
        <v>0</v>
      </c>
      <c r="J14" s="19" t="n">
        <v>0</v>
      </c>
      <c r="K14" s="19" t="n">
        <v>0</v>
      </c>
      <c r="L14" s="19" t="n">
        <v>0</v>
      </c>
      <c r="M14" s="19" t="n">
        <v>0</v>
      </c>
      <c r="N14" s="26" t="n">
        <f aca="false">SUM(B14:M14)</f>
        <v>0</v>
      </c>
    </row>
    <row r="15" customFormat="false" ht="15" hidden="false" customHeight="false" outlineLevel="0" collapsed="false">
      <c r="A15" s="14" t="s">
        <v>49</v>
      </c>
      <c r="B15" s="19" t="n">
        <v>0</v>
      </c>
      <c r="C15" s="19" t="n">
        <v>0</v>
      </c>
      <c r="D15" s="19" t="n">
        <v>0</v>
      </c>
      <c r="E15" s="19" t="n">
        <v>0</v>
      </c>
      <c r="F15" s="19" t="n">
        <v>0</v>
      </c>
      <c r="G15" s="19" t="n">
        <v>60000</v>
      </c>
      <c r="H15" s="19" t="n">
        <v>0</v>
      </c>
      <c r="I15" s="19" t="n">
        <v>0</v>
      </c>
      <c r="J15" s="19" t="n">
        <v>0</v>
      </c>
      <c r="K15" s="19" t="n">
        <v>0</v>
      </c>
      <c r="L15" s="19" t="n">
        <v>0</v>
      </c>
      <c r="M15" s="19" t="n">
        <v>0</v>
      </c>
      <c r="N15" s="26" t="n">
        <f aca="false">SUM(B15:M15)</f>
        <v>60000</v>
      </c>
    </row>
    <row r="16" customFormat="false" ht="15" hidden="false" customHeight="false" outlineLevel="0" collapsed="false">
      <c r="A16" s="14" t="s">
        <v>50</v>
      </c>
      <c r="B16" s="19" t="n">
        <v>0</v>
      </c>
      <c r="C16" s="19" t="n">
        <v>0</v>
      </c>
      <c r="D16" s="19" t="n">
        <v>0</v>
      </c>
      <c r="E16" s="19" t="n">
        <v>0</v>
      </c>
      <c r="F16" s="19" t="n">
        <v>0</v>
      </c>
      <c r="G16" s="19" t="n">
        <v>0</v>
      </c>
      <c r="H16" s="19" t="n">
        <v>0</v>
      </c>
      <c r="I16" s="19" t="n">
        <v>0</v>
      </c>
      <c r="J16" s="19" t="n">
        <v>0</v>
      </c>
      <c r="K16" s="19" t="n">
        <v>0</v>
      </c>
      <c r="L16" s="19" t="n">
        <v>0</v>
      </c>
      <c r="M16" s="19" t="n">
        <v>0</v>
      </c>
      <c r="N16" s="26" t="n">
        <f aca="false">SUM(B16:M16)</f>
        <v>0</v>
      </c>
    </row>
    <row r="17" customFormat="false" ht="15" hidden="false" customHeight="false" outlineLevel="0" collapsed="false">
      <c r="A17" s="14" t="s">
        <v>51</v>
      </c>
      <c r="B17" s="19" t="n">
        <v>0</v>
      </c>
      <c r="C17" s="19" t="n">
        <v>0</v>
      </c>
      <c r="D17" s="19" t="n">
        <v>0</v>
      </c>
      <c r="E17" s="19" t="n">
        <v>0</v>
      </c>
      <c r="F17" s="19" t="n">
        <v>0</v>
      </c>
      <c r="G17" s="19" t="n">
        <v>0</v>
      </c>
      <c r="H17" s="19" t="n">
        <v>0</v>
      </c>
      <c r="I17" s="19" t="n">
        <v>0</v>
      </c>
      <c r="J17" s="19" t="n">
        <v>0</v>
      </c>
      <c r="K17" s="19" t="n">
        <v>0</v>
      </c>
      <c r="L17" s="19" t="n">
        <v>0</v>
      </c>
      <c r="M17" s="19" t="n">
        <v>0</v>
      </c>
      <c r="N17" s="26" t="n">
        <f aca="false">SUM(B17:M17)</f>
        <v>0</v>
      </c>
    </row>
    <row r="18" customFormat="false" ht="15" hidden="false" customHeight="false" outlineLevel="0" collapsed="false">
      <c r="A18" s="24" t="s">
        <v>52</v>
      </c>
      <c r="B18" s="27" t="n">
        <f aca="false">SUM(B11:B17)</f>
        <v>102000</v>
      </c>
      <c r="C18" s="27" t="n">
        <f aca="false">SUM(C11:C17)</f>
        <v>102000</v>
      </c>
      <c r="D18" s="27" t="n">
        <f aca="false">SUM(D11:D17)</f>
        <v>96000</v>
      </c>
      <c r="E18" s="27" t="n">
        <f aca="false">SUM(E11:E17)</f>
        <v>96000</v>
      </c>
      <c r="F18" s="27" t="n">
        <f aca="false">SUM(F11:F17)</f>
        <v>108000</v>
      </c>
      <c r="G18" s="27" t="n">
        <f aca="false">SUM(G11:G17)</f>
        <v>174000</v>
      </c>
      <c r="H18" s="27" t="n">
        <f aca="false">SUM(H11:H17)</f>
        <v>120000</v>
      </c>
      <c r="I18" s="27" t="n">
        <f aca="false">SUM(I11:I17)</f>
        <v>132000</v>
      </c>
      <c r="J18" s="27" t="n">
        <f aca="false">SUM(J11:J17)</f>
        <v>144000</v>
      </c>
      <c r="K18" s="27" t="n">
        <f aca="false">SUM(K11:K17)</f>
        <v>156000</v>
      </c>
      <c r="L18" s="27" t="n">
        <f aca="false">SUM(L11:L17)</f>
        <v>156000</v>
      </c>
      <c r="M18" s="27" t="n">
        <f aca="false">SUM(M11:M17)</f>
        <v>132000</v>
      </c>
      <c r="N18" s="27" t="n">
        <f aca="false">SUM(B18:M18)</f>
        <v>1518000</v>
      </c>
    </row>
    <row r="19" customFormat="false" ht="15" hidden="false" customHeight="false" outlineLevel="0" collapsed="false">
      <c r="A19" s="24" t="s">
        <v>53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customFormat="false" ht="15" hidden="false" customHeight="false" outlineLevel="0" collapsed="false">
      <c r="A20" s="14" t="s">
        <v>54</v>
      </c>
      <c r="B20" s="19" t="n">
        <v>51000</v>
      </c>
      <c r="C20" s="19" t="n">
        <v>48000</v>
      </c>
      <c r="D20" s="19" t="n">
        <v>48000</v>
      </c>
      <c r="E20" s="19" t="n">
        <v>54000</v>
      </c>
      <c r="F20" s="19" t="n">
        <v>57000</v>
      </c>
      <c r="G20" s="19" t="n">
        <v>60000</v>
      </c>
      <c r="H20" s="19" t="n">
        <v>66000</v>
      </c>
      <c r="I20" s="19" t="n">
        <v>72000</v>
      </c>
      <c r="J20" s="19" t="n">
        <v>78000</v>
      </c>
      <c r="K20" s="19" t="n">
        <v>78000</v>
      </c>
      <c r="L20" s="19" t="n">
        <v>66000</v>
      </c>
      <c r="M20" s="19" t="n">
        <v>60000</v>
      </c>
      <c r="N20" s="26" t="n">
        <f aca="false">SUM(B20:M20)</f>
        <v>738000</v>
      </c>
    </row>
    <row r="21" customFormat="false" ht="15" hidden="false" customHeight="false" outlineLevel="0" collapsed="false">
      <c r="A21" s="14" t="s">
        <v>55</v>
      </c>
      <c r="B21" s="19" t="n">
        <v>3600</v>
      </c>
      <c r="C21" s="19" t="n">
        <v>3600</v>
      </c>
      <c r="D21" s="19" t="n">
        <v>3600</v>
      </c>
      <c r="E21" s="19" t="n">
        <v>3600</v>
      </c>
      <c r="F21" s="19" t="n">
        <v>3600</v>
      </c>
      <c r="G21" s="19" t="n">
        <v>3600</v>
      </c>
      <c r="H21" s="19" t="n">
        <v>3600</v>
      </c>
      <c r="I21" s="19" t="n">
        <v>3600</v>
      </c>
      <c r="J21" s="19" t="n">
        <v>3600</v>
      </c>
      <c r="K21" s="19" t="n">
        <v>3600</v>
      </c>
      <c r="L21" s="19" t="n">
        <v>3600</v>
      </c>
      <c r="M21" s="19" t="n">
        <v>3600</v>
      </c>
      <c r="N21" s="26" t="n">
        <f aca="false">SUM(B21:M21)</f>
        <v>43200</v>
      </c>
    </row>
    <row r="22" customFormat="false" ht="15" hidden="false" customHeight="false" outlineLevel="0" collapsed="false">
      <c r="A22" s="14" t="s">
        <v>56</v>
      </c>
      <c r="B22" s="19" t="n">
        <v>4800</v>
      </c>
      <c r="C22" s="19" t="n">
        <v>4800</v>
      </c>
      <c r="D22" s="19" t="n">
        <v>4800</v>
      </c>
      <c r="E22" s="19" t="n">
        <v>4800</v>
      </c>
      <c r="F22" s="19" t="n">
        <v>4800</v>
      </c>
      <c r="G22" s="19" t="n">
        <v>4800</v>
      </c>
      <c r="H22" s="19" t="n">
        <v>4800</v>
      </c>
      <c r="I22" s="19" t="n">
        <v>4800</v>
      </c>
      <c r="J22" s="19" t="n">
        <v>4800</v>
      </c>
      <c r="K22" s="19" t="n">
        <v>4800</v>
      </c>
      <c r="L22" s="19" t="n">
        <v>4800</v>
      </c>
      <c r="M22" s="19" t="n">
        <v>4800</v>
      </c>
      <c r="N22" s="26" t="n">
        <f aca="false">SUM(B22:M22)</f>
        <v>57600</v>
      </c>
    </row>
    <row r="23" customFormat="false" ht="15" hidden="false" customHeight="false" outlineLevel="0" collapsed="false">
      <c r="A23" s="14" t="s">
        <v>57</v>
      </c>
      <c r="B23" s="19" t="n">
        <v>19500</v>
      </c>
      <c r="C23" s="19" t="n">
        <v>19500</v>
      </c>
      <c r="D23" s="19" t="n">
        <v>19500</v>
      </c>
      <c r="E23" s="19" t="n">
        <v>19500</v>
      </c>
      <c r="F23" s="19" t="n">
        <v>19500</v>
      </c>
      <c r="G23" s="19" t="n">
        <v>19500</v>
      </c>
      <c r="H23" s="19" t="n">
        <v>19500</v>
      </c>
      <c r="I23" s="19" t="n">
        <v>19500</v>
      </c>
      <c r="J23" s="19" t="n">
        <v>19500</v>
      </c>
      <c r="K23" s="19" t="n">
        <v>19500</v>
      </c>
      <c r="L23" s="19" t="n">
        <v>19500</v>
      </c>
      <c r="M23" s="19" t="n">
        <v>19500</v>
      </c>
      <c r="N23" s="26" t="n">
        <f aca="false">SUM(B23:M23)</f>
        <v>234000</v>
      </c>
    </row>
    <row r="24" customFormat="false" ht="15" hidden="false" customHeight="false" outlineLevel="0" collapsed="false">
      <c r="A24" s="14" t="s">
        <v>58</v>
      </c>
      <c r="B24" s="19" t="n">
        <v>16000</v>
      </c>
      <c r="C24" s="19" t="n">
        <v>16000</v>
      </c>
      <c r="D24" s="19" t="n">
        <v>16000</v>
      </c>
      <c r="E24" s="19" t="n">
        <v>16000</v>
      </c>
      <c r="F24" s="19" t="n">
        <v>16000</v>
      </c>
      <c r="G24" s="19" t="n">
        <v>16000</v>
      </c>
      <c r="H24" s="19" t="n">
        <v>16000</v>
      </c>
      <c r="I24" s="19" t="n">
        <v>16000</v>
      </c>
      <c r="J24" s="19" t="n">
        <v>16000</v>
      </c>
      <c r="K24" s="19" t="n">
        <v>16000</v>
      </c>
      <c r="L24" s="19" t="n">
        <v>16000</v>
      </c>
      <c r="M24" s="19" t="n">
        <v>16000</v>
      </c>
      <c r="N24" s="26" t="n">
        <f aca="false">SUM(B24:M24)</f>
        <v>192000</v>
      </c>
    </row>
    <row r="25" customFormat="false" ht="15" hidden="false" customHeight="false" outlineLevel="0" collapsed="false">
      <c r="A25" s="14" t="s">
        <v>59</v>
      </c>
      <c r="B25" s="19" t="n">
        <v>0</v>
      </c>
      <c r="C25" s="19" t="n">
        <v>0</v>
      </c>
      <c r="D25" s="19" t="n">
        <v>0</v>
      </c>
      <c r="E25" s="19" t="n">
        <v>0</v>
      </c>
      <c r="F25" s="19" t="n">
        <v>0</v>
      </c>
      <c r="G25" s="19" t="n">
        <v>0</v>
      </c>
      <c r="H25" s="19" t="n">
        <v>0</v>
      </c>
      <c r="I25" s="19" t="n">
        <v>0</v>
      </c>
      <c r="J25" s="19" t="n">
        <v>0</v>
      </c>
      <c r="K25" s="19" t="n">
        <v>0</v>
      </c>
      <c r="L25" s="19" t="n">
        <v>0</v>
      </c>
      <c r="M25" s="19" t="n">
        <v>0</v>
      </c>
      <c r="N25" s="26" t="n">
        <f aca="false">SUM(B25:M25)</f>
        <v>0</v>
      </c>
    </row>
    <row r="26" customFormat="false" ht="15" hidden="false" customHeight="false" outlineLevel="0" collapsed="false">
      <c r="A26" s="14" t="s">
        <v>60</v>
      </c>
      <c r="B26" s="19" t="n">
        <v>7100</v>
      </c>
      <c r="C26" s="19" t="n">
        <v>6600</v>
      </c>
      <c r="D26" s="19" t="n">
        <v>6600</v>
      </c>
      <c r="E26" s="19" t="n">
        <v>7600</v>
      </c>
      <c r="F26" s="19" t="n">
        <v>8100</v>
      </c>
      <c r="G26" s="19" t="n">
        <v>8600</v>
      </c>
      <c r="H26" s="19" t="n">
        <v>0</v>
      </c>
      <c r="I26" s="19" t="n">
        <v>8200</v>
      </c>
      <c r="J26" s="19" t="n">
        <v>11600</v>
      </c>
      <c r="K26" s="19" t="n">
        <v>11600</v>
      </c>
      <c r="L26" s="19" t="n">
        <v>9600</v>
      </c>
      <c r="M26" s="19" t="n">
        <v>8600</v>
      </c>
      <c r="N26" s="26" t="n">
        <f aca="false">SUM(B26:M26)</f>
        <v>94200</v>
      </c>
    </row>
    <row r="27" customFormat="false" ht="15" hidden="false" customHeight="false" outlineLevel="0" collapsed="false">
      <c r="A27" s="14" t="s">
        <v>61</v>
      </c>
      <c r="B27" s="19" t="n">
        <v>0</v>
      </c>
      <c r="C27" s="19" t="n">
        <v>0</v>
      </c>
      <c r="D27" s="19" t="n">
        <v>8000</v>
      </c>
      <c r="E27" s="19" t="n">
        <v>0</v>
      </c>
      <c r="F27" s="19" t="n">
        <v>0</v>
      </c>
      <c r="G27" s="19" t="n">
        <v>8000</v>
      </c>
      <c r="H27" s="19" t="n">
        <v>0</v>
      </c>
      <c r="I27" s="19" t="n">
        <v>0</v>
      </c>
      <c r="J27" s="19" t="n">
        <v>8000</v>
      </c>
      <c r="K27" s="19" t="n">
        <v>0</v>
      </c>
      <c r="L27" s="19" t="n">
        <v>0</v>
      </c>
      <c r="M27" s="19" t="n">
        <v>8000</v>
      </c>
      <c r="N27" s="26" t="n">
        <f aca="false">SUM(B27:M27)</f>
        <v>32000</v>
      </c>
    </row>
    <row r="28" customFormat="false" ht="15" hidden="false" customHeight="false" outlineLevel="0" collapsed="false">
      <c r="A28" s="14" t="s">
        <v>62</v>
      </c>
      <c r="B28" s="19" t="n">
        <v>0</v>
      </c>
      <c r="C28" s="19" t="n">
        <v>0</v>
      </c>
      <c r="D28" s="19" t="n">
        <v>0</v>
      </c>
      <c r="E28" s="19" t="n">
        <v>0</v>
      </c>
      <c r="F28" s="19" t="n">
        <v>0</v>
      </c>
      <c r="G28" s="19" t="n">
        <v>0</v>
      </c>
      <c r="H28" s="19" t="n">
        <v>0</v>
      </c>
      <c r="I28" s="19" t="n">
        <v>0</v>
      </c>
      <c r="J28" s="19" t="n">
        <v>0</v>
      </c>
      <c r="K28" s="19" t="n">
        <v>0</v>
      </c>
      <c r="L28" s="19" t="n">
        <v>0</v>
      </c>
      <c r="M28" s="19" t="n">
        <v>0</v>
      </c>
      <c r="N28" s="26" t="n">
        <f aca="false">SUM(B28:M28)</f>
        <v>0</v>
      </c>
    </row>
    <row r="29" customFormat="false" ht="15" hidden="false" customHeight="false" outlineLevel="0" collapsed="false">
      <c r="A29" s="14" t="s">
        <v>63</v>
      </c>
      <c r="B29" s="19" t="n">
        <v>2500</v>
      </c>
      <c r="C29" s="19" t="n">
        <v>2500</v>
      </c>
      <c r="D29" s="19" t="n">
        <v>2500</v>
      </c>
      <c r="E29" s="19" t="n">
        <v>2500</v>
      </c>
      <c r="F29" s="19" t="n">
        <v>2500</v>
      </c>
      <c r="G29" s="19" t="n">
        <v>2500</v>
      </c>
      <c r="H29" s="19" t="n">
        <v>3600</v>
      </c>
      <c r="I29" s="19" t="n">
        <v>3600</v>
      </c>
      <c r="J29" s="19" t="n">
        <v>3600</v>
      </c>
      <c r="K29" s="19" t="n">
        <v>3600</v>
      </c>
      <c r="L29" s="19" t="n">
        <v>3600</v>
      </c>
      <c r="M29" s="19" t="n">
        <v>3600</v>
      </c>
      <c r="N29" s="26" t="n">
        <f aca="false">SUM(B29:M29)</f>
        <v>36600</v>
      </c>
    </row>
    <row r="30" customFormat="false" ht="15" hidden="false" customHeight="false" outlineLevel="0" collapsed="false">
      <c r="A30" s="14" t="s">
        <v>64</v>
      </c>
      <c r="B30" s="19" t="n">
        <v>0</v>
      </c>
      <c r="C30" s="19" t="n">
        <v>0</v>
      </c>
      <c r="D30" s="19" t="n">
        <v>0</v>
      </c>
      <c r="E30" s="19" t="n">
        <v>0</v>
      </c>
      <c r="F30" s="19" t="n">
        <v>0</v>
      </c>
      <c r="G30" s="19" t="n">
        <v>0</v>
      </c>
      <c r="H30" s="19" t="n">
        <v>0</v>
      </c>
      <c r="I30" s="19" t="n">
        <v>0</v>
      </c>
      <c r="J30" s="19" t="n">
        <v>0</v>
      </c>
      <c r="K30" s="19" t="n">
        <v>0</v>
      </c>
      <c r="L30" s="19" t="n">
        <v>0</v>
      </c>
      <c r="M30" s="19" t="n">
        <v>0</v>
      </c>
      <c r="N30" s="26" t="n">
        <f aca="false">SUM(B30:M30)</f>
        <v>0</v>
      </c>
    </row>
    <row r="31" customFormat="false" ht="15" hidden="false" customHeight="false" outlineLevel="0" collapsed="false">
      <c r="A31" s="14" t="s">
        <v>65</v>
      </c>
      <c r="B31" s="19" t="n">
        <v>0</v>
      </c>
      <c r="C31" s="19" t="n">
        <v>0</v>
      </c>
      <c r="D31" s="19" t="n">
        <v>0</v>
      </c>
      <c r="E31" s="19" t="n">
        <v>0</v>
      </c>
      <c r="F31" s="19" t="n">
        <v>0</v>
      </c>
      <c r="G31" s="19" t="n">
        <v>72000</v>
      </c>
      <c r="H31" s="19" t="n">
        <v>0</v>
      </c>
      <c r="I31" s="19" t="n">
        <v>0</v>
      </c>
      <c r="J31" s="19" t="n">
        <v>0</v>
      </c>
      <c r="K31" s="19" t="n">
        <v>0</v>
      </c>
      <c r="L31" s="19" t="n">
        <v>0</v>
      </c>
      <c r="M31" s="19" t="n">
        <v>0</v>
      </c>
      <c r="N31" s="26" t="n">
        <f aca="false">SUM(B31:M31)</f>
        <v>72000</v>
      </c>
    </row>
    <row r="32" customFormat="false" ht="15" hidden="false" customHeight="false" outlineLevel="0" collapsed="false">
      <c r="A32" s="14" t="s">
        <v>66</v>
      </c>
      <c r="B32" s="19" t="n">
        <v>0</v>
      </c>
      <c r="C32" s="19" t="n">
        <v>0</v>
      </c>
      <c r="D32" s="19" t="n">
        <v>0</v>
      </c>
      <c r="E32" s="19" t="n">
        <v>0</v>
      </c>
      <c r="F32" s="19" t="n">
        <v>0</v>
      </c>
      <c r="G32" s="19" t="n">
        <v>0</v>
      </c>
      <c r="H32" s="19" t="n">
        <v>0</v>
      </c>
      <c r="I32" s="19" t="n">
        <v>0</v>
      </c>
      <c r="J32" s="19" t="n">
        <v>0</v>
      </c>
      <c r="K32" s="19" t="n">
        <v>0</v>
      </c>
      <c r="L32" s="19" t="n">
        <v>0</v>
      </c>
      <c r="M32" s="19" t="n">
        <v>0</v>
      </c>
      <c r="N32" s="26" t="n">
        <f aca="false">SUM(B32:M32)</f>
        <v>0</v>
      </c>
    </row>
    <row r="33" customFormat="false" ht="15" hidden="false" customHeight="false" outlineLevel="0" collapsed="false">
      <c r="A33" s="24" t="s">
        <v>67</v>
      </c>
      <c r="B33" s="27" t="n">
        <f aca="false">SUM(B20:B32)</f>
        <v>104500</v>
      </c>
      <c r="C33" s="27" t="n">
        <f aca="false">SUM(C20:C32)</f>
        <v>101000</v>
      </c>
      <c r="D33" s="27" t="n">
        <f aca="false">SUM(D20:D32)</f>
        <v>109000</v>
      </c>
      <c r="E33" s="27" t="n">
        <f aca="false">SUM(E20:E32)</f>
        <v>108000</v>
      </c>
      <c r="F33" s="27" t="n">
        <f aca="false">SUM(F20:F32)</f>
        <v>111500</v>
      </c>
      <c r="G33" s="27" t="n">
        <f aca="false">SUM(G20:G32)</f>
        <v>195000</v>
      </c>
      <c r="H33" s="27" t="n">
        <f aca="false">SUM(H20:H32)</f>
        <v>113500</v>
      </c>
      <c r="I33" s="27" t="n">
        <f aca="false">SUM(I20:I32)</f>
        <v>127700</v>
      </c>
      <c r="J33" s="27" t="n">
        <f aca="false">SUM(J20:J32)</f>
        <v>145100</v>
      </c>
      <c r="K33" s="27" t="n">
        <f aca="false">SUM(K20:K32)</f>
        <v>137100</v>
      </c>
      <c r="L33" s="27" t="n">
        <f aca="false">SUM(L20:L32)</f>
        <v>123100</v>
      </c>
      <c r="M33" s="27" t="n">
        <f aca="false">SUM(M20:M32)</f>
        <v>124100</v>
      </c>
      <c r="N33" s="27" t="n">
        <f aca="false">SUM(B33:M33)</f>
        <v>1499600</v>
      </c>
    </row>
    <row r="34" customFormat="false" ht="15" hidden="false" customHeight="false" outlineLevel="0" collapsed="false">
      <c r="A34" s="22" t="s">
        <v>68</v>
      </c>
      <c r="B34" s="23" t="n">
        <f aca="false">B18-B33</f>
        <v>-2500</v>
      </c>
      <c r="C34" s="23" t="n">
        <f aca="false">C18-C33</f>
        <v>1000</v>
      </c>
      <c r="D34" s="23" t="n">
        <f aca="false">D18-D33</f>
        <v>-13000</v>
      </c>
      <c r="E34" s="23" t="n">
        <f aca="false">E18-E33</f>
        <v>-12000</v>
      </c>
      <c r="F34" s="23" t="n">
        <f aca="false">F18-F33</f>
        <v>-3500</v>
      </c>
      <c r="G34" s="23" t="n">
        <f aca="false">G18-G33</f>
        <v>-21000</v>
      </c>
      <c r="H34" s="23" t="n">
        <f aca="false">H18-H33</f>
        <v>6500</v>
      </c>
      <c r="I34" s="23" t="n">
        <f aca="false">I18-I33</f>
        <v>4300</v>
      </c>
      <c r="J34" s="23" t="n">
        <f aca="false">J18-J33</f>
        <v>-1100</v>
      </c>
      <c r="K34" s="23" t="n">
        <f aca="false">K18-K33</f>
        <v>18900</v>
      </c>
      <c r="L34" s="23" t="n">
        <f aca="false">L18-L33</f>
        <v>32900</v>
      </c>
      <c r="M34" s="23" t="n">
        <f aca="false">M18-M33</f>
        <v>7900</v>
      </c>
      <c r="N34" s="23" t="n">
        <f aca="false">SUM(B34:M34)</f>
        <v>18400</v>
      </c>
    </row>
    <row r="35" customFormat="false" ht="15" hidden="false" customHeight="false" outlineLevel="0" collapsed="false">
      <c r="A35" s="28" t="s">
        <v>69</v>
      </c>
      <c r="B35" s="29" t="n">
        <f aca="false">B9+B34</f>
        <v>37500</v>
      </c>
      <c r="C35" s="29" t="n">
        <f aca="false">C9+C34</f>
        <v>38500</v>
      </c>
      <c r="D35" s="29" t="n">
        <f aca="false">D9+D34</f>
        <v>25500</v>
      </c>
      <c r="E35" s="29" t="n">
        <f aca="false">E9+E34</f>
        <v>13500</v>
      </c>
      <c r="F35" s="29" t="n">
        <f aca="false">F9+F34</f>
        <v>10000</v>
      </c>
      <c r="G35" s="29" t="n">
        <f aca="false">G9+G34</f>
        <v>-11000</v>
      </c>
      <c r="H35" s="29" t="n">
        <f aca="false">H9+H34</f>
        <v>-4500</v>
      </c>
      <c r="I35" s="29" t="n">
        <f aca="false">I9+I34</f>
        <v>-200</v>
      </c>
      <c r="J35" s="29" t="n">
        <f aca="false">J9+J34</f>
        <v>-1300</v>
      </c>
      <c r="K35" s="29" t="n">
        <f aca="false">K9+K34</f>
        <v>17600</v>
      </c>
      <c r="L35" s="29" t="n">
        <f aca="false">L9+L34</f>
        <v>50500</v>
      </c>
      <c r="M35" s="29" t="n">
        <f aca="false">M9+M34</f>
        <v>58400</v>
      </c>
      <c r="N35" s="29"/>
    </row>
    <row r="37" customFormat="false" ht="15" hidden="false" customHeight="false" outlineLevel="0" collapsed="false">
      <c r="A37" s="30" t="s">
        <v>70</v>
      </c>
    </row>
  </sheetData>
  <mergeCells count="1">
    <mergeCell ref="B4:E4"/>
  </mergeCells>
  <conditionalFormatting sqref="B35:M35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3" min="2" style="0" width="12"/>
  </cols>
  <sheetData>
    <row r="1" customFormat="false" ht="25.5" hidden="false" customHeight="true" outlineLevel="0" collapsed="false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false" outlineLevel="0" collapsed="false">
      <c r="A4" s="7" t="s">
        <v>73</v>
      </c>
      <c r="B4" s="31" t="n">
        <v>0.2</v>
      </c>
    </row>
    <row r="5" customFormat="false" ht="15" hidden="false" customHeight="false" outlineLevel="0" collapsed="false">
      <c r="A5" s="7" t="s">
        <v>74</v>
      </c>
      <c r="B5" s="32" t="n">
        <v>5</v>
      </c>
    </row>
    <row r="6" customFormat="false" ht="15" hidden="false" customHeight="false" outlineLevel="0" collapsed="false">
      <c r="A6" s="7" t="s">
        <v>75</v>
      </c>
      <c r="B6" s="31" t="n">
        <v>0.1</v>
      </c>
    </row>
    <row r="7" customFormat="false" ht="15" hidden="false" customHeight="false" outlineLevel="0" collapsed="false">
      <c r="A7" s="7" t="s">
        <v>76</v>
      </c>
      <c r="B7" s="32" t="n">
        <v>5</v>
      </c>
    </row>
    <row r="8" customFormat="false" ht="15" hidden="false" customHeight="false" outlineLevel="0" collapsed="false">
      <c r="A8" s="7" t="s">
        <v>32</v>
      </c>
      <c r="B8" s="31" t="n">
        <v>0.1</v>
      </c>
    </row>
    <row r="9" customFormat="false" ht="15" hidden="false" customHeight="false" outlineLevel="0" collapsed="false">
      <c r="A9" s="7" t="s">
        <v>77</v>
      </c>
      <c r="B9" s="32" t="n">
        <v>5</v>
      </c>
    </row>
    <row r="10" customFormat="false" ht="15" hidden="false" customHeight="false" outlineLevel="0" collapsed="false">
      <c r="A10" s="7" t="s">
        <v>78</v>
      </c>
      <c r="B10" s="19" t="n">
        <v>15000</v>
      </c>
    </row>
    <row r="11" customFormat="false" ht="15" hidden="false" customHeight="false" outlineLevel="0" collapsed="false">
      <c r="A11" s="7" t="s">
        <v>79</v>
      </c>
      <c r="B11" s="19" t="n">
        <v>1100</v>
      </c>
    </row>
    <row r="12" customFormat="false" ht="15" hidden="false" customHeight="false" outlineLevel="0" collapsed="false">
      <c r="A12" s="7" t="s">
        <v>80</v>
      </c>
      <c r="B12" s="32" t="n">
        <v>7</v>
      </c>
    </row>
    <row r="15" customFormat="false" ht="15" hidden="false" customHeight="false" outlineLevel="0" collapsed="false">
      <c r="A15" s="13" t="s">
        <v>69</v>
      </c>
      <c r="B15" s="33" t="n">
        <f aca="false">'Prévisionnel 12 mois'!B8</f>
        <v>46388</v>
      </c>
      <c r="C15" s="33" t="n">
        <f aca="false">'Prévisionnel 12 mois'!C8</f>
        <v>46419</v>
      </c>
      <c r="D15" s="33" t="n">
        <f aca="false">'Prévisionnel 12 mois'!D8</f>
        <v>46447</v>
      </c>
      <c r="E15" s="33" t="n">
        <f aca="false">'Prévisionnel 12 mois'!E8</f>
        <v>46478</v>
      </c>
      <c r="F15" s="33" t="n">
        <f aca="false">'Prévisionnel 12 mois'!F8</f>
        <v>46508</v>
      </c>
      <c r="G15" s="33" t="n">
        <f aca="false">'Prévisionnel 12 mois'!G8</f>
        <v>46539</v>
      </c>
      <c r="H15" s="33" t="n">
        <f aca="false">'Prévisionnel 12 mois'!H8</f>
        <v>46569</v>
      </c>
      <c r="I15" s="33" t="n">
        <f aca="false">'Prévisionnel 12 mois'!I8</f>
        <v>46600</v>
      </c>
      <c r="J15" s="33" t="n">
        <f aca="false">'Prévisionnel 12 mois'!J8</f>
        <v>46631</v>
      </c>
      <c r="K15" s="33" t="n">
        <f aca="false">'Prévisionnel 12 mois'!K8</f>
        <v>46661</v>
      </c>
      <c r="L15" s="33" t="n">
        <f aca="false">'Prévisionnel 12 mois'!L8</f>
        <v>46692</v>
      </c>
      <c r="M15" s="33" t="n">
        <f aca="false">'Prévisionnel 12 mois'!M8</f>
        <v>46722</v>
      </c>
    </row>
    <row r="16" customFormat="false" ht="15" hidden="false" customHeight="false" outlineLevel="0" collapsed="false">
      <c r="A16" s="7" t="s">
        <v>29</v>
      </c>
      <c r="B16" s="15" t="n">
        <f aca="false">'Prévisionnel 12 mois'!B35</f>
        <v>37500</v>
      </c>
      <c r="C16" s="15" t="n">
        <f aca="false">'Prévisionnel 12 mois'!C35</f>
        <v>38500</v>
      </c>
      <c r="D16" s="15" t="n">
        <f aca="false">'Prévisionnel 12 mois'!D35</f>
        <v>25500</v>
      </c>
      <c r="E16" s="15" t="n">
        <f aca="false">'Prévisionnel 12 mois'!E35</f>
        <v>13500</v>
      </c>
      <c r="F16" s="15" t="n">
        <f aca="false">'Prévisionnel 12 mois'!F35</f>
        <v>10000</v>
      </c>
      <c r="G16" s="15" t="n">
        <f aca="false">'Prévisionnel 12 mois'!G35</f>
        <v>-11000</v>
      </c>
      <c r="H16" s="15" t="n">
        <f aca="false">'Prévisionnel 12 mois'!H35</f>
        <v>-4500</v>
      </c>
      <c r="I16" s="15" t="n">
        <f aca="false">'Prévisionnel 12 mois'!I35</f>
        <v>-200</v>
      </c>
      <c r="J16" s="15" t="n">
        <f aca="false">'Prévisionnel 12 mois'!J35</f>
        <v>-1300</v>
      </c>
      <c r="K16" s="15" t="n">
        <f aca="false">'Prévisionnel 12 mois'!K35</f>
        <v>17600</v>
      </c>
      <c r="L16" s="15" t="n">
        <f aca="false">'Prévisionnel 12 mois'!L35</f>
        <v>50500</v>
      </c>
      <c r="M16" s="15" t="n">
        <f aca="false">'Prévisionnel 12 mois'!M35</f>
        <v>58400</v>
      </c>
    </row>
    <row r="17" customFormat="false" ht="15" hidden="false" customHeight="false" outlineLevel="0" collapsed="false">
      <c r="A17" s="7" t="s">
        <v>30</v>
      </c>
      <c r="B17" s="15" t="n">
        <f aca="false">B16+SUM($B$28:B28)</f>
        <v>37500</v>
      </c>
      <c r="C17" s="15" t="n">
        <f aca="false">C16+SUM($B$28:C28)</f>
        <v>38500</v>
      </c>
      <c r="D17" s="15" t="n">
        <f aca="false">D16+SUM($B$28:D28)</f>
        <v>25500</v>
      </c>
      <c r="E17" s="15" t="n">
        <f aca="false">E16+SUM($B$28:E28)</f>
        <v>13500</v>
      </c>
      <c r="F17" s="15" t="n">
        <f aca="false">F16+SUM($B$28:F28)</f>
        <v>-11600</v>
      </c>
      <c r="G17" s="15" t="n">
        <f aca="false">G16+SUM($B$28:G28)</f>
        <v>-33800</v>
      </c>
      <c r="H17" s="15" t="n">
        <f aca="false">H16+SUM($B$28:H28)</f>
        <v>-28500</v>
      </c>
      <c r="I17" s="15" t="n">
        <f aca="false">I16+SUM($B$28:I28)</f>
        <v>-26600</v>
      </c>
      <c r="J17" s="15" t="n">
        <f aca="false">J16+SUM($B$28:J28)</f>
        <v>-30100</v>
      </c>
      <c r="K17" s="15" t="n">
        <f aca="false">K16+SUM($B$28:K28)</f>
        <v>-13600</v>
      </c>
      <c r="L17" s="15" t="n">
        <f aca="false">L16+SUM($B$28:L28)</f>
        <v>19300</v>
      </c>
      <c r="M17" s="15" t="n">
        <f aca="false">M16+SUM($B$28:M28)</f>
        <v>32000</v>
      </c>
    </row>
    <row r="18" customFormat="false" ht="15" hidden="false" customHeight="false" outlineLevel="0" collapsed="false">
      <c r="A18" s="7" t="s">
        <v>31</v>
      </c>
      <c r="B18" s="15" t="n">
        <f aca="false">B16+SUM($B$29:B29)</f>
        <v>37500</v>
      </c>
      <c r="C18" s="15" t="n">
        <f aca="false">C16+SUM($B$29:C29)</f>
        <v>38500</v>
      </c>
      <c r="D18" s="15" t="n">
        <f aca="false">D16+SUM($B$29:D29)</f>
        <v>25500</v>
      </c>
      <c r="E18" s="15" t="n">
        <f aca="false">E16+SUM($B$29:E29)</f>
        <v>13500</v>
      </c>
      <c r="F18" s="15" t="n">
        <f aca="false">F16+SUM($B$29:F29)</f>
        <v>-800</v>
      </c>
      <c r="G18" s="15" t="n">
        <f aca="false">G16+SUM($B$29:G29)</f>
        <v>-33200</v>
      </c>
      <c r="H18" s="15" t="n">
        <f aca="false">H16+SUM($B$29:H29)</f>
        <v>-38700</v>
      </c>
      <c r="I18" s="15" t="n">
        <f aca="false">I16+SUM($B$29:I29)</f>
        <v>-47600</v>
      </c>
      <c r="J18" s="15" t="n">
        <f aca="false">J16+SUM($B$29:J29)</f>
        <v>-63100</v>
      </c>
      <c r="K18" s="15" t="n">
        <f aca="false">K16+SUM($B$29:K29)</f>
        <v>-59800</v>
      </c>
      <c r="L18" s="15" t="n">
        <f aca="false">L16+SUM($B$29:L29)</f>
        <v>-42500</v>
      </c>
      <c r="M18" s="15" t="n">
        <f aca="false">M16+SUM($B$29:M29)</f>
        <v>-47800</v>
      </c>
    </row>
    <row r="19" customFormat="false" ht="15" hidden="false" customHeight="false" outlineLevel="0" collapsed="false">
      <c r="A19" s="7" t="s">
        <v>32</v>
      </c>
      <c r="B19" s="15" t="n">
        <f aca="false">B16+SUM($B$30:B30)</f>
        <v>37500</v>
      </c>
      <c r="C19" s="15" t="n">
        <f aca="false">C16+SUM($B$30:C30)</f>
        <v>38500</v>
      </c>
      <c r="D19" s="15" t="n">
        <f aca="false">D16+SUM($B$30:D30)</f>
        <v>25500</v>
      </c>
      <c r="E19" s="15" t="n">
        <f aca="false">E16+SUM($B$30:E30)</f>
        <v>13500</v>
      </c>
      <c r="F19" s="15" t="n">
        <f aca="false">F16+SUM($B$30:F30)</f>
        <v>3940</v>
      </c>
      <c r="G19" s="15" t="n">
        <f aca="false">G16+SUM($B$30:G30)</f>
        <v>-23420</v>
      </c>
      <c r="H19" s="15" t="n">
        <f aca="false">H16+SUM($B$30:H30)</f>
        <v>-23880</v>
      </c>
      <c r="I19" s="15" t="n">
        <f aca="false">I16+SUM($B$30:I30)</f>
        <v>-27140</v>
      </c>
      <c r="J19" s="15" t="n">
        <f aca="false">J16+SUM($B$30:J30)</f>
        <v>-36400</v>
      </c>
      <c r="K19" s="15" t="n">
        <f aca="false">K16+SUM($B$30:K30)</f>
        <v>-25660</v>
      </c>
      <c r="L19" s="15" t="n">
        <f aca="false">L16+SUM($B$30:L30)</f>
        <v>280</v>
      </c>
      <c r="M19" s="15" t="n">
        <f aca="false">M16+SUM($B$30:M30)</f>
        <v>1820</v>
      </c>
    </row>
    <row r="20" customFormat="false" ht="15" hidden="false" customHeight="false" outlineLevel="0" collapsed="false">
      <c r="A20" s="7" t="s">
        <v>33</v>
      </c>
      <c r="B20" s="15" t="n">
        <f aca="false">B16+SUM($B$31:B31)</f>
        <v>37500</v>
      </c>
      <c r="C20" s="15" t="n">
        <f aca="false">C16+SUM($B$31:C31)</f>
        <v>38500</v>
      </c>
      <c r="D20" s="15" t="n">
        <f aca="false">D16+SUM($B$31:D31)</f>
        <v>25500</v>
      </c>
      <c r="E20" s="15" t="n">
        <f aca="false">E16+SUM($B$31:E31)</f>
        <v>13500</v>
      </c>
      <c r="F20" s="15" t="n">
        <f aca="false">F16+SUM($B$31:F31)</f>
        <v>10000</v>
      </c>
      <c r="G20" s="15" t="n">
        <f aca="false">G16+SUM($B$31:G31)</f>
        <v>-71000</v>
      </c>
      <c r="H20" s="15" t="n">
        <f aca="false">H16+SUM($B$31:H31)</f>
        <v>-63400</v>
      </c>
      <c r="I20" s="15" t="n">
        <f aca="false">I16+SUM($B$31:I31)</f>
        <v>-58000</v>
      </c>
      <c r="J20" s="15" t="n">
        <f aca="false">J16+SUM($B$31:J31)</f>
        <v>-58000</v>
      </c>
      <c r="K20" s="15" t="n">
        <f aca="false">K16+SUM($B$31:K31)</f>
        <v>-38000</v>
      </c>
      <c r="L20" s="15" t="n">
        <f aca="false">L16+SUM($B$31:L31)</f>
        <v>-4000</v>
      </c>
      <c r="M20" s="15" t="n">
        <f aca="false">M16+SUM($B$31:M31)</f>
        <v>5000</v>
      </c>
    </row>
    <row r="21" customFormat="false" ht="15" hidden="false" customHeight="false" outlineLevel="0" collapsed="false">
      <c r="A21" s="7" t="s">
        <v>34</v>
      </c>
      <c r="B21" s="15" t="n">
        <f aca="false">B16+SUM($B$28:B31)</f>
        <v>37500</v>
      </c>
      <c r="C21" s="15" t="n">
        <f aca="false">C16+SUM($B$28:C31)</f>
        <v>38500</v>
      </c>
      <c r="D21" s="15" t="n">
        <f aca="false">D16+SUM($B$28:D31)</f>
        <v>25500</v>
      </c>
      <c r="E21" s="15" t="n">
        <f aca="false">E16+SUM($B$28:E31)</f>
        <v>13500</v>
      </c>
      <c r="F21" s="15" t="n">
        <f aca="false">F16+SUM($B$28:F31)</f>
        <v>-28460</v>
      </c>
      <c r="G21" s="15" t="n">
        <f aca="false">G16+SUM($B$28:G31)</f>
        <v>-128420</v>
      </c>
      <c r="H21" s="15" t="n">
        <f aca="false">H16+SUM($B$28:H31)</f>
        <v>-140980</v>
      </c>
      <c r="I21" s="15" t="n">
        <f aca="false">I16+SUM($B$28:I31)</f>
        <v>-158740</v>
      </c>
      <c r="J21" s="15" t="n">
        <f aca="false">J16+SUM($B$28:J31)</f>
        <v>-183700</v>
      </c>
      <c r="K21" s="15" t="n">
        <f aca="false">K16+SUM($B$28:K31)</f>
        <v>-189860</v>
      </c>
      <c r="L21" s="15" t="n">
        <f aca="false">L16+SUM($B$28:L31)</f>
        <v>-178420</v>
      </c>
      <c r="M21" s="15" t="n">
        <f aca="false">M16+SUM($B$28:M31)</f>
        <v>-184180</v>
      </c>
    </row>
    <row r="23" customFormat="false" ht="15" hidden="false" customHeight="false" outlineLevel="0" collapsed="false">
      <c r="A23" s="30" t="s">
        <v>81</v>
      </c>
    </row>
    <row r="27" customFormat="false" ht="15" hidden="false" customHeight="false" outlineLevel="0" collapsed="false">
      <c r="A27" s="34" t="s">
        <v>82</v>
      </c>
    </row>
    <row r="28" customFormat="false" ht="15" hidden="false" customHeight="false" outlineLevel="0" collapsed="false">
      <c r="A28" s="35" t="s">
        <v>83</v>
      </c>
      <c r="B28" s="36" t="n">
        <f aca="false">-$B$4*'Prévisionnel 12 mois'!B11*(1&gt;=$B$5)</f>
        <v>-0</v>
      </c>
      <c r="C28" s="36" t="n">
        <f aca="false">-$B$4*'Prévisionnel 12 mois'!C11*(2&gt;=$B$5)+$B$4*'Prévisionnel 12 mois'!B11*(1&gt;=$B$5)</f>
        <v>0</v>
      </c>
      <c r="D28" s="36" t="n">
        <f aca="false">-$B$4*'Prévisionnel 12 mois'!D11*(3&gt;=$B$5)+$B$4*'Prévisionnel 12 mois'!C11*(2&gt;=$B$5)</f>
        <v>0</v>
      </c>
      <c r="E28" s="36" t="n">
        <f aca="false">-$B$4*'Prévisionnel 12 mois'!E11*(4&gt;=$B$5)+$B$4*'Prévisionnel 12 mois'!D11*(3&gt;=$B$5)</f>
        <v>0</v>
      </c>
      <c r="F28" s="36" t="n">
        <f aca="false">-$B$4*'Prévisionnel 12 mois'!F11*(5&gt;=$B$5)+$B$4*'Prévisionnel 12 mois'!E11*(4&gt;=$B$5)</f>
        <v>-21600</v>
      </c>
      <c r="G28" s="36" t="n">
        <f aca="false">-$B$4*'Prévisionnel 12 mois'!G11*(6&gt;=$B$5)+$B$4*'Prévisionnel 12 mois'!F11*(5&gt;=$B$5)</f>
        <v>-1200</v>
      </c>
      <c r="H28" s="36" t="n">
        <f aca="false">-$B$4*'Prévisionnel 12 mois'!H11*(7&gt;=$B$5)+$B$4*'Prévisionnel 12 mois'!G11*(6&gt;=$B$5)</f>
        <v>-1200</v>
      </c>
      <c r="I28" s="36" t="n">
        <f aca="false">-$B$4*'Prévisionnel 12 mois'!I11*(8&gt;=$B$5)+$B$4*'Prévisionnel 12 mois'!H11*(7&gt;=$B$5)</f>
        <v>-2400</v>
      </c>
      <c r="J28" s="36" t="n">
        <f aca="false">-$B$4*'Prévisionnel 12 mois'!J11*(9&gt;=$B$5)+$B$4*'Prévisionnel 12 mois'!I11*(8&gt;=$B$5)</f>
        <v>-2400</v>
      </c>
      <c r="K28" s="36" t="n">
        <f aca="false">-$B$4*'Prévisionnel 12 mois'!K11*(10&gt;=$B$5)+$B$4*'Prévisionnel 12 mois'!J11*(9&gt;=$B$5)</f>
        <v>-2400</v>
      </c>
      <c r="L28" s="36" t="n">
        <f aca="false">-$B$4*'Prévisionnel 12 mois'!L11*(11&gt;=$B$5)+$B$4*'Prévisionnel 12 mois'!K11*(10&gt;=$B$5)</f>
        <v>0</v>
      </c>
      <c r="M28" s="36" t="n">
        <f aca="false">-$B$4*'Prévisionnel 12 mois'!M11*(12&gt;=$B$5)+$B$4*'Prévisionnel 12 mois'!L11*(11&gt;=$B$5)</f>
        <v>4800</v>
      </c>
    </row>
    <row r="29" customFormat="false" ht="15" hidden="false" customHeight="false" outlineLevel="0" collapsed="false">
      <c r="A29" s="35" t="s">
        <v>84</v>
      </c>
      <c r="B29" s="36" t="n">
        <f aca="false">-$B$6*'Prévisionnel 12 mois'!B11*(1&gt;=$B$7)</f>
        <v>-0</v>
      </c>
      <c r="C29" s="36" t="n">
        <f aca="false">-$B$6*'Prévisionnel 12 mois'!C11*(2&gt;=$B$7)</f>
        <v>-0</v>
      </c>
      <c r="D29" s="36" t="n">
        <f aca="false">-$B$6*'Prévisionnel 12 mois'!D11*(3&gt;=$B$7)</f>
        <v>-0</v>
      </c>
      <c r="E29" s="36" t="n">
        <f aca="false">-$B$6*'Prévisionnel 12 mois'!E11*(4&gt;=$B$7)</f>
        <v>-0</v>
      </c>
      <c r="F29" s="36" t="n">
        <f aca="false">-$B$6*'Prévisionnel 12 mois'!F11*(5&gt;=$B$7)</f>
        <v>-10800</v>
      </c>
      <c r="G29" s="36" t="n">
        <f aca="false">-$B$6*'Prévisionnel 12 mois'!G11*(6&gt;=$B$7)</f>
        <v>-11400</v>
      </c>
      <c r="H29" s="36" t="n">
        <f aca="false">-$B$6*'Prévisionnel 12 mois'!H11*(7&gt;=$B$7)</f>
        <v>-12000</v>
      </c>
      <c r="I29" s="36" t="n">
        <f aca="false">-$B$6*'Prévisionnel 12 mois'!I11*(8&gt;=$B$7)</f>
        <v>-13200</v>
      </c>
      <c r="J29" s="36" t="n">
        <f aca="false">-$B$6*'Prévisionnel 12 mois'!J11*(9&gt;=$B$7)</f>
        <v>-14400</v>
      </c>
      <c r="K29" s="36" t="n">
        <f aca="false">-$B$6*'Prévisionnel 12 mois'!K11*(10&gt;=$B$7)</f>
        <v>-15600</v>
      </c>
      <c r="L29" s="36" t="n">
        <f aca="false">-$B$6*'Prévisionnel 12 mois'!L11*(11&gt;=$B$7)</f>
        <v>-15600</v>
      </c>
      <c r="M29" s="36" t="n">
        <f aca="false">-$B$6*'Prévisionnel 12 mois'!M11*(12&gt;=$B$7)</f>
        <v>-13200</v>
      </c>
    </row>
    <row r="30" customFormat="false" ht="15" hidden="false" customHeight="false" outlineLevel="0" collapsed="false">
      <c r="A30" s="35" t="s">
        <v>85</v>
      </c>
      <c r="B30" s="36" t="n">
        <f aca="false">-$B$8*('Prévisionnel 12 mois'!B20+'Prévisionnel 12 mois'!B21)*(1&gt;=$B$9)</f>
        <v>-0</v>
      </c>
      <c r="C30" s="36" t="n">
        <f aca="false">-$B$8*('Prévisionnel 12 mois'!C20+'Prévisionnel 12 mois'!C21)*(2&gt;=$B$9)</f>
        <v>-0</v>
      </c>
      <c r="D30" s="36" t="n">
        <f aca="false">-$B$8*('Prévisionnel 12 mois'!D20+'Prévisionnel 12 mois'!D21)*(3&gt;=$B$9)</f>
        <v>-0</v>
      </c>
      <c r="E30" s="36" t="n">
        <f aca="false">-$B$8*('Prévisionnel 12 mois'!E20+'Prévisionnel 12 mois'!E21)*(4&gt;=$B$9)</f>
        <v>-0</v>
      </c>
      <c r="F30" s="36" t="n">
        <f aca="false">-$B$8*('Prévisionnel 12 mois'!F20+'Prévisionnel 12 mois'!F21)*(5&gt;=$B$9)</f>
        <v>-6060</v>
      </c>
      <c r="G30" s="36" t="n">
        <f aca="false">-$B$8*('Prévisionnel 12 mois'!G20+'Prévisionnel 12 mois'!G21)*(6&gt;=$B$9)</f>
        <v>-6360</v>
      </c>
      <c r="H30" s="36" t="n">
        <f aca="false">-$B$8*('Prévisionnel 12 mois'!H20+'Prévisionnel 12 mois'!H21)*(7&gt;=$B$9)</f>
        <v>-6960</v>
      </c>
      <c r="I30" s="36" t="n">
        <f aca="false">-$B$8*('Prévisionnel 12 mois'!I20+'Prévisionnel 12 mois'!I21)*(8&gt;=$B$9)</f>
        <v>-7560</v>
      </c>
      <c r="J30" s="36" t="n">
        <f aca="false">-$B$8*('Prévisionnel 12 mois'!J20+'Prévisionnel 12 mois'!J21)*(9&gt;=$B$9)</f>
        <v>-8160</v>
      </c>
      <c r="K30" s="36" t="n">
        <f aca="false">-$B$8*('Prévisionnel 12 mois'!K20+'Prévisionnel 12 mois'!K21)*(10&gt;=$B$9)</f>
        <v>-8160</v>
      </c>
      <c r="L30" s="36" t="n">
        <f aca="false">-$B$8*('Prévisionnel 12 mois'!L20+'Prévisionnel 12 mois'!L21)*(11&gt;=$B$9)</f>
        <v>-6960</v>
      </c>
      <c r="M30" s="36" t="n">
        <f aca="false">-$B$8*('Prévisionnel 12 mois'!M20+'Prévisionnel 12 mois'!M21)*(12&gt;=$B$9)</f>
        <v>-6360</v>
      </c>
    </row>
    <row r="31" customFormat="false" ht="15" hidden="false" customHeight="false" outlineLevel="0" collapsed="false">
      <c r="A31" s="35" t="s">
        <v>86</v>
      </c>
      <c r="B31" s="36" t="n">
        <f aca="false">-'Prévisionnel 12 mois'!B15+$B$11*(1&gt;=$B$12)</f>
        <v>0</v>
      </c>
      <c r="C31" s="36" t="n">
        <f aca="false">-'Prévisionnel 12 mois'!C15+$B$11*(2&gt;=$B$12)</f>
        <v>0</v>
      </c>
      <c r="D31" s="36" t="n">
        <f aca="false">-'Prévisionnel 12 mois'!D15+$B$11*(3&gt;=$B$12)</f>
        <v>0</v>
      </c>
      <c r="E31" s="36" t="n">
        <f aca="false">-'Prévisionnel 12 mois'!E15+$B$11*(4&gt;=$B$12)</f>
        <v>0</v>
      </c>
      <c r="F31" s="36" t="n">
        <f aca="false">-'Prévisionnel 12 mois'!F15+$B$11*(5&gt;=$B$12)</f>
        <v>0</v>
      </c>
      <c r="G31" s="36" t="n">
        <f aca="false">-'Prévisionnel 12 mois'!G15+$B$11*(6&gt;=$B$12)</f>
        <v>-60000</v>
      </c>
      <c r="H31" s="36" t="n">
        <f aca="false">-'Prévisionnel 12 mois'!H15+$B$11*(7&gt;=$B$12)</f>
        <v>1100</v>
      </c>
      <c r="I31" s="36" t="n">
        <f aca="false">-'Prévisionnel 12 mois'!I15+$B$11*(8&gt;=$B$12)</f>
        <v>1100</v>
      </c>
      <c r="J31" s="36" t="n">
        <f aca="false">-'Prévisionnel 12 mois'!J15+$B$11*(9&gt;=$B$12)</f>
        <v>1100</v>
      </c>
      <c r="K31" s="36" t="n">
        <f aca="false">-'Prévisionnel 12 mois'!K15+$B$11*(10&gt;=$B$12)</f>
        <v>1100</v>
      </c>
      <c r="L31" s="36" t="n">
        <f aca="false">-'Prévisionnel 12 mois'!L15+$B$11*(11&gt;=$B$12)</f>
        <v>1100</v>
      </c>
      <c r="M31" s="36" t="n">
        <f aca="false">-'Prévisionnel 12 mois'!M15+$B$11*(12&gt;=$B$12)</f>
        <v>1100</v>
      </c>
    </row>
  </sheetData>
  <conditionalFormatting sqref="B16:M21">
    <cfRule type="cellIs" priority="2" operator="lessThan" aboveAverage="0" equalAverage="0" bottom="0" percent="0" rank="0" text="" dxfId="0">
      <formula>0</formula>
    </cfRule>
  </conditionalFormatting>
  <dataValidations count="1">
    <dataValidation allowBlank="false" errorStyle="stop" operator="between" showDropDown="false" showErrorMessage="false" showInputMessage="false" sqref="B5 B7 B9 B12" type="whole">
      <formula1>1</formula1>
      <formula2>12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5" min="2" style="0" width="11"/>
  </cols>
  <sheetData>
    <row r="1" customFormat="false" ht="25.5" hidden="false" customHeight="true" outlineLevel="0" collapsed="false">
      <c r="A1" s="1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3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15" hidden="false" customHeight="false" outlineLevel="0" collapsed="false">
      <c r="A4" s="7" t="s">
        <v>89</v>
      </c>
      <c r="B4" s="37" t="n">
        <v>46391</v>
      </c>
    </row>
    <row r="5" customFormat="false" ht="15" hidden="false" customHeight="false" outlineLevel="0" collapsed="false">
      <c r="A5" s="7" t="s">
        <v>90</v>
      </c>
      <c r="B5" s="19" t="n">
        <v>40000</v>
      </c>
    </row>
    <row r="7" customFormat="false" ht="15" hidden="false" customHeight="false" outlineLevel="0" collapsed="false">
      <c r="A7" s="20" t="s">
        <v>91</v>
      </c>
      <c r="B7" s="38" t="n">
        <f aca="false">$B$4+7*0</f>
        <v>46391</v>
      </c>
      <c r="C7" s="38" t="n">
        <f aca="false">$B$4+7*1</f>
        <v>46398</v>
      </c>
      <c r="D7" s="38" t="n">
        <f aca="false">$B$4+7*2</f>
        <v>46405</v>
      </c>
      <c r="E7" s="38" t="n">
        <f aca="false">$B$4+7*3</f>
        <v>46412</v>
      </c>
      <c r="F7" s="38" t="n">
        <f aca="false">$B$4+7*4</f>
        <v>46419</v>
      </c>
      <c r="G7" s="38" t="n">
        <f aca="false">$B$4+7*5</f>
        <v>46426</v>
      </c>
      <c r="H7" s="38" t="n">
        <f aca="false">$B$4+7*6</f>
        <v>46433</v>
      </c>
      <c r="I7" s="38" t="n">
        <f aca="false">$B$4+7*7</f>
        <v>46440</v>
      </c>
      <c r="J7" s="38" t="n">
        <f aca="false">$B$4+7*8</f>
        <v>46447</v>
      </c>
      <c r="K7" s="38" t="n">
        <f aca="false">$B$4+7*9</f>
        <v>46454</v>
      </c>
      <c r="L7" s="38" t="n">
        <f aca="false">$B$4+7*10</f>
        <v>46461</v>
      </c>
      <c r="M7" s="38" t="n">
        <f aca="false">$B$4+7*11</f>
        <v>46468</v>
      </c>
      <c r="N7" s="38" t="n">
        <f aca="false">$B$4+7*12</f>
        <v>46475</v>
      </c>
      <c r="O7" s="20" t="s">
        <v>42</v>
      </c>
    </row>
    <row r="8" customFormat="false" ht="15" hidden="false" customHeight="false" outlineLevel="0" collapsed="false">
      <c r="A8" s="7" t="s">
        <v>92</v>
      </c>
      <c r="B8" s="15" t="n">
        <f aca="false">$B$5</f>
        <v>40000</v>
      </c>
      <c r="C8" s="15" t="n">
        <f aca="false">B21</f>
        <v>50900</v>
      </c>
      <c r="D8" s="15" t="n">
        <f aca="false">C21</f>
        <v>50900</v>
      </c>
      <c r="E8" s="15" t="n">
        <f aca="false">D21</f>
        <v>50900</v>
      </c>
      <c r="F8" s="15" t="n">
        <f aca="false">E21</f>
        <v>50900</v>
      </c>
      <c r="G8" s="15" t="n">
        <f aca="false">F21</f>
        <v>50900</v>
      </c>
      <c r="H8" s="15" t="n">
        <f aca="false">G21</f>
        <v>50900</v>
      </c>
      <c r="I8" s="15" t="n">
        <f aca="false">H21</f>
        <v>50900</v>
      </c>
      <c r="J8" s="15" t="n">
        <f aca="false">I21</f>
        <v>50900</v>
      </c>
      <c r="K8" s="15" t="n">
        <f aca="false">J21</f>
        <v>50900</v>
      </c>
      <c r="L8" s="15" t="n">
        <f aca="false">K21</f>
        <v>50900</v>
      </c>
      <c r="M8" s="15" t="n">
        <f aca="false">L21</f>
        <v>50900</v>
      </c>
      <c r="N8" s="15" t="n">
        <f aca="false">M21</f>
        <v>50900</v>
      </c>
      <c r="O8" s="15"/>
    </row>
    <row r="9" customFormat="false" ht="15" hidden="false" customHeight="false" outlineLevel="0" collapsed="false">
      <c r="A9" s="24" t="s">
        <v>44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customFormat="false" ht="15" hidden="false" customHeight="false" outlineLevel="0" collapsed="false">
      <c r="A10" s="14" t="s">
        <v>93</v>
      </c>
      <c r="B10" s="19" t="n">
        <v>25000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5" t="n">
        <f aca="false">SUM(B10:N10)</f>
        <v>25000</v>
      </c>
    </row>
    <row r="11" customFormat="false" ht="15" hidden="false" customHeight="false" outlineLevel="0" collapsed="false">
      <c r="A11" s="14" t="s">
        <v>94</v>
      </c>
      <c r="B11" s="19" t="n">
        <v>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5" t="n">
        <f aca="false">SUM(B11:N11)</f>
        <v>0</v>
      </c>
    </row>
    <row r="12" customFormat="false" ht="15" hidden="false" customHeight="false" outlineLevel="0" collapsed="false">
      <c r="A12" s="7" t="s">
        <v>52</v>
      </c>
      <c r="B12" s="15" t="n">
        <f aca="false">SUM(B10:B11)</f>
        <v>25000</v>
      </c>
      <c r="C12" s="15" t="n">
        <f aca="false">SUM(C10:C11)</f>
        <v>0</v>
      </c>
      <c r="D12" s="15" t="n">
        <f aca="false">SUM(D10:D11)</f>
        <v>0</v>
      </c>
      <c r="E12" s="15" t="n">
        <f aca="false">SUM(E10:E11)</f>
        <v>0</v>
      </c>
      <c r="F12" s="15" t="n">
        <f aca="false">SUM(F10:F11)</f>
        <v>0</v>
      </c>
      <c r="G12" s="15" t="n">
        <f aca="false">SUM(G10:G11)</f>
        <v>0</v>
      </c>
      <c r="H12" s="15" t="n">
        <f aca="false">SUM(H10:H11)</f>
        <v>0</v>
      </c>
      <c r="I12" s="15" t="n">
        <f aca="false">SUM(I10:I11)</f>
        <v>0</v>
      </c>
      <c r="J12" s="15" t="n">
        <f aca="false">SUM(J10:J11)</f>
        <v>0</v>
      </c>
      <c r="K12" s="15" t="n">
        <f aca="false">SUM(K10:K11)</f>
        <v>0</v>
      </c>
      <c r="L12" s="15" t="n">
        <f aca="false">SUM(L10:L11)</f>
        <v>0</v>
      </c>
      <c r="M12" s="15" t="n">
        <f aca="false">SUM(M10:M11)</f>
        <v>0</v>
      </c>
      <c r="N12" s="15" t="n">
        <f aca="false">SUM(N10:N11)</f>
        <v>0</v>
      </c>
      <c r="O12" s="15" t="n">
        <f aca="false">SUM(B12:N12)</f>
        <v>25000</v>
      </c>
    </row>
    <row r="13" customFormat="false" ht="15" hidden="false" customHeight="false" outlineLevel="0" collapsed="false">
      <c r="A13" s="24" t="s">
        <v>53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customFormat="false" ht="15" hidden="false" customHeight="false" outlineLevel="0" collapsed="false">
      <c r="A14" s="14" t="s">
        <v>95</v>
      </c>
      <c r="B14" s="19" t="n">
        <v>12000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5" t="n">
        <f aca="false">SUM(B14:N14)</f>
        <v>12000</v>
      </c>
    </row>
    <row r="15" customFormat="false" ht="15" hidden="false" customHeight="false" outlineLevel="0" collapsed="false">
      <c r="A15" s="14" t="s">
        <v>57</v>
      </c>
      <c r="B15" s="19" t="n">
        <v>0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5" t="n">
        <f aca="false">SUM(B15:N15)</f>
        <v>0</v>
      </c>
    </row>
    <row r="16" customFormat="false" ht="15" hidden="false" customHeight="false" outlineLevel="0" collapsed="false">
      <c r="A16" s="14" t="s">
        <v>96</v>
      </c>
      <c r="B16" s="19" t="n">
        <v>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5" t="n">
        <f aca="false">SUM(B16:N16)</f>
        <v>0</v>
      </c>
    </row>
    <row r="17" customFormat="false" ht="15" hidden="false" customHeight="false" outlineLevel="0" collapsed="false">
      <c r="A17" s="14" t="s">
        <v>97</v>
      </c>
      <c r="B17" s="19" t="n">
        <v>0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5" t="n">
        <f aca="false">SUM(B17:N17)</f>
        <v>0</v>
      </c>
    </row>
    <row r="18" customFormat="false" ht="15" hidden="false" customHeight="false" outlineLevel="0" collapsed="false">
      <c r="A18" s="14" t="s">
        <v>98</v>
      </c>
      <c r="B18" s="19" t="n">
        <v>0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5" t="n">
        <f aca="false">SUM(B18:N18)</f>
        <v>0</v>
      </c>
    </row>
    <row r="19" customFormat="false" ht="15" hidden="false" customHeight="false" outlineLevel="0" collapsed="false">
      <c r="A19" s="14" t="s">
        <v>99</v>
      </c>
      <c r="B19" s="19" t="n">
        <v>2100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5" t="n">
        <f aca="false">SUM(B19:N19)</f>
        <v>2100</v>
      </c>
    </row>
    <row r="20" customFormat="false" ht="15" hidden="false" customHeight="false" outlineLevel="0" collapsed="false">
      <c r="A20" s="7" t="s">
        <v>67</v>
      </c>
      <c r="B20" s="15" t="n">
        <f aca="false">SUM(B14:B19)</f>
        <v>14100</v>
      </c>
      <c r="C20" s="15" t="n">
        <f aca="false">SUM(C14:C19)</f>
        <v>0</v>
      </c>
      <c r="D20" s="15" t="n">
        <f aca="false">SUM(D14:D19)</f>
        <v>0</v>
      </c>
      <c r="E20" s="15" t="n">
        <f aca="false">SUM(E14:E19)</f>
        <v>0</v>
      </c>
      <c r="F20" s="15" t="n">
        <f aca="false">SUM(F14:F19)</f>
        <v>0</v>
      </c>
      <c r="G20" s="15" t="n">
        <f aca="false">SUM(G14:G19)</f>
        <v>0</v>
      </c>
      <c r="H20" s="15" t="n">
        <f aca="false">SUM(H14:H19)</f>
        <v>0</v>
      </c>
      <c r="I20" s="15" t="n">
        <f aca="false">SUM(I14:I19)</f>
        <v>0</v>
      </c>
      <c r="J20" s="15" t="n">
        <f aca="false">SUM(J14:J19)</f>
        <v>0</v>
      </c>
      <c r="K20" s="15" t="n">
        <f aca="false">SUM(K14:K19)</f>
        <v>0</v>
      </c>
      <c r="L20" s="15" t="n">
        <f aca="false">SUM(L14:L19)</f>
        <v>0</v>
      </c>
      <c r="M20" s="15" t="n">
        <f aca="false">SUM(M14:M19)</f>
        <v>0</v>
      </c>
      <c r="N20" s="15" t="n">
        <f aca="false">SUM(N14:N19)</f>
        <v>0</v>
      </c>
      <c r="O20" s="15" t="n">
        <f aca="false">SUM(B20:N20)</f>
        <v>14100</v>
      </c>
    </row>
    <row r="21" customFormat="false" ht="15" hidden="false" customHeight="false" outlineLevel="0" collapsed="false">
      <c r="A21" s="7" t="s">
        <v>100</v>
      </c>
      <c r="B21" s="15" t="n">
        <f aca="false">B8+B12-B20</f>
        <v>50900</v>
      </c>
      <c r="C21" s="15" t="n">
        <f aca="false">C8+C12-C20</f>
        <v>50900</v>
      </c>
      <c r="D21" s="15" t="n">
        <f aca="false">D8+D12-D20</f>
        <v>50900</v>
      </c>
      <c r="E21" s="15" t="n">
        <f aca="false">E8+E12-E20</f>
        <v>50900</v>
      </c>
      <c r="F21" s="15" t="n">
        <f aca="false">F8+F12-F20</f>
        <v>50900</v>
      </c>
      <c r="G21" s="15" t="n">
        <f aca="false">G8+G12-G20</f>
        <v>50900</v>
      </c>
      <c r="H21" s="15" t="n">
        <f aca="false">H8+H12-H20</f>
        <v>50900</v>
      </c>
      <c r="I21" s="15" t="n">
        <f aca="false">I8+I12-I20</f>
        <v>50900</v>
      </c>
      <c r="J21" s="15" t="n">
        <f aca="false">J8+J12-J20</f>
        <v>50900</v>
      </c>
      <c r="K21" s="15" t="n">
        <f aca="false">K8+K12-K20</f>
        <v>50900</v>
      </c>
      <c r="L21" s="15" t="n">
        <f aca="false">L8+L12-L20</f>
        <v>50900</v>
      </c>
      <c r="M21" s="15" t="n">
        <f aca="false">M8+M12-M20</f>
        <v>50900</v>
      </c>
      <c r="N21" s="15" t="n">
        <f aca="false">N8+N12-N20</f>
        <v>50900</v>
      </c>
      <c r="O21" s="15"/>
    </row>
    <row r="23" customFormat="false" ht="15" hidden="false" customHeight="false" outlineLevel="0" collapsed="false">
      <c r="A23" s="30" t="s">
        <v>101</v>
      </c>
    </row>
    <row r="24" customFormat="false" ht="15" hidden="false" customHeight="false" outlineLevel="0" collapsed="false">
      <c r="A24" s="7" t="s">
        <v>102</v>
      </c>
      <c r="B24" s="39" t="n">
        <f aca="false">MIN(B21:N21)</f>
        <v>50900</v>
      </c>
    </row>
    <row r="25" customFormat="false" ht="15" hidden="false" customHeight="false" outlineLevel="0" collapsed="false">
      <c r="A25" s="7" t="s">
        <v>103</v>
      </c>
      <c r="B25" s="40" t="n">
        <f aca="false">INDEX(B7:N7,MATCH(B24,B21:N21,0))</f>
        <v>46391</v>
      </c>
    </row>
  </sheetData>
  <conditionalFormatting sqref="B21:N21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2026-10-25T19:23:20Z</dcterms:created>
  <dc:creator>AUDIT EXPERTS — Frédéric Janvier, expert-comptable</dc:creator>
  <dc:description/>
  <cp:keywords>prévisionnel de trésorerie plan de trésorerie modèle Excel</cp:keywords>
  <dc:language>en-US</dc:language>
  <cp:lastModifiedBy/>
  <dcterms:modified xsi:type="dcterms:W3CDTF">2026-10-25T19:23:22Z</dcterms:modified>
  <cp:revision>1</cp:revision>
  <dc:subject>Prévisionnel de trésorerie, scénarios et tableau de bord</dc:subject>
  <dc:title>Modèle de prévisionnel de trésorerie 12 mois et 13 semaines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